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autoCompressPictures="0" defaultThemeVersion="124226"/>
  <mc:AlternateContent xmlns:mc="http://schemas.openxmlformats.org/markup-compatibility/2006">
    <mc:Choice Requires="x15">
      <x15ac:absPath xmlns:x15ac="http://schemas.microsoft.com/office/spreadsheetml/2010/11/ac" url="C:\Users\dmoor\Dropbox\LMU_teaching\FNCE_3415\Fall_22\HW\HW8\"/>
    </mc:Choice>
  </mc:AlternateContent>
  <xr:revisionPtr revIDLastSave="0" documentId="13_ncr:1_{5DA8BA54-EB98-42C5-8478-672ABC10208E}" xr6:coauthVersionLast="47" xr6:coauthVersionMax="47" xr10:uidLastSave="{00000000-0000-0000-0000-000000000000}"/>
  <bookViews>
    <workbookView xWindow="28680" yWindow="-225" windowWidth="29040" windowHeight="15840" tabRatio="722" firstSheet="5" activeTab="12" xr2:uid="{00000000-000D-0000-FFFF-FFFF00000000}"/>
  </bookViews>
  <sheets>
    <sheet name="Copyright" sheetId="36" r:id="rId1"/>
    <sheet name="Exh 1 Stores" sheetId="19" r:id="rId2"/>
    <sheet name="Exh 2 Econ Indicators" sheetId="25" r:id="rId3"/>
    <sheet name="Exh 3 Teuer IS" sheetId="17" r:id="rId4"/>
    <sheet name="Exh 4 Teuer BS" sheetId="18" r:id="rId5"/>
    <sheet name="Exh 5 Stores IS" sheetId="3" r:id="rId6"/>
    <sheet name="Exh 6 Stores BS" sheetId="5" r:id="rId7"/>
    <sheet name="Exh 7 Teuer CFA" sheetId="12" r:id="rId8"/>
    <sheet name="Exh 8 Sales Forecasting" sheetId="32" r:id="rId9"/>
    <sheet name="Exh 9 Capital Forecasting" sheetId="34" r:id="rId10"/>
    <sheet name="Exh 10 Forecast Parameters" sheetId="24" r:id="rId11"/>
    <sheet name="Teuer IS Pro Forma" sheetId="26" r:id="rId12"/>
    <sheet name="Teuer BS Pro Forma" sheetId="38" r:id="rId13"/>
    <sheet name="Teuer CFA Pro Forma" sheetId="6" r:id="rId14"/>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42296.9210763889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38" l="1"/>
  <c r="T88" i="5"/>
  <c r="S88" i="5"/>
  <c r="R88" i="5"/>
  <c r="T81" i="5"/>
  <c r="S81" i="5"/>
  <c r="R81" i="5"/>
  <c r="Q81" i="5"/>
  <c r="T74" i="5"/>
  <c r="S74" i="5"/>
  <c r="R74" i="5"/>
  <c r="Q74" i="5"/>
  <c r="P74" i="5"/>
  <c r="T67" i="5"/>
  <c r="S67" i="5"/>
  <c r="R67" i="5"/>
  <c r="Q67" i="5"/>
  <c r="P67" i="5"/>
  <c r="O67" i="5"/>
  <c r="T60" i="5"/>
  <c r="S60" i="5"/>
  <c r="R60" i="5"/>
  <c r="Q60" i="5"/>
  <c r="P60" i="5"/>
  <c r="O60" i="5"/>
  <c r="S53" i="5"/>
  <c r="R53" i="5"/>
  <c r="Q53" i="5"/>
  <c r="P53" i="5"/>
  <c r="O53" i="5"/>
  <c r="T46" i="5"/>
  <c r="R46" i="5"/>
  <c r="Q46" i="5"/>
  <c r="P46" i="5"/>
  <c r="O46" i="5"/>
  <c r="T39" i="5"/>
  <c r="S39" i="5"/>
  <c r="Q39" i="5"/>
  <c r="P39" i="5"/>
  <c r="O39" i="5"/>
  <c r="T32" i="5"/>
  <c r="S32" i="5"/>
  <c r="R32" i="5"/>
  <c r="P32" i="5"/>
  <c r="O32" i="5"/>
  <c r="T25" i="5"/>
  <c r="S25" i="5"/>
  <c r="R25" i="5"/>
  <c r="Q25" i="5"/>
  <c r="O25" i="5"/>
  <c r="T18" i="5"/>
  <c r="S18" i="5"/>
  <c r="R18" i="5"/>
  <c r="Q18" i="5"/>
  <c r="P18" i="5"/>
  <c r="T11" i="5"/>
  <c r="S11" i="5"/>
  <c r="R11" i="5"/>
  <c r="Q11" i="5"/>
  <c r="P11" i="5"/>
  <c r="O11" i="5"/>
  <c r="P4" i="5"/>
  <c r="Q4" i="5"/>
  <c r="R4" i="5"/>
  <c r="S4" i="5"/>
  <c r="T4" i="5"/>
  <c r="O4" i="5"/>
  <c r="E7" i="26" l="1"/>
  <c r="F7" i="26"/>
  <c r="G7" i="26"/>
  <c r="H7" i="26"/>
  <c r="I7" i="26"/>
  <c r="D7" i="26"/>
  <c r="P72" i="3"/>
  <c r="Q72" i="3" s="1"/>
  <c r="R72" i="3" s="1"/>
  <c r="S72" i="3" s="1"/>
  <c r="T72" i="3" s="1"/>
  <c r="O65" i="3"/>
  <c r="P65" i="3" s="1"/>
  <c r="Q65" i="3" s="1"/>
  <c r="R65" i="3" s="1"/>
  <c r="S65" i="3" s="1"/>
  <c r="T65" i="3" s="1"/>
  <c r="R88" i="3"/>
  <c r="R91" i="3" s="1"/>
  <c r="R93" i="3"/>
  <c r="S93" i="3" s="1"/>
  <c r="T93" i="3" s="1"/>
  <c r="R89" i="3" l="1"/>
  <c r="R90" i="3"/>
  <c r="G5" i="24" l="1"/>
  <c r="H5" i="24" s="1"/>
  <c r="I5" i="24" s="1"/>
  <c r="J5" i="24" s="1"/>
  <c r="K5" i="24" s="1"/>
  <c r="L5" i="24" s="1"/>
  <c r="M5" i="24" s="1"/>
  <c r="N5" i="24" s="1"/>
  <c r="O5" i="24" s="1"/>
  <c r="P5" i="24" s="1"/>
  <c r="F5" i="24"/>
  <c r="F6" i="24"/>
  <c r="G6" i="24" s="1"/>
  <c r="H6" i="24" s="1"/>
  <c r="I6" i="24" s="1"/>
  <c r="J6" i="24" s="1"/>
  <c r="K6" i="24" s="1"/>
  <c r="L6" i="24" s="1"/>
  <c r="M6" i="24" s="1"/>
  <c r="N6" i="24" s="1"/>
  <c r="O6" i="24" s="1"/>
  <c r="P6" i="24" s="1"/>
  <c r="F4" i="24"/>
  <c r="G4" i="24" s="1"/>
  <c r="H4" i="24" s="1"/>
  <c r="I4" i="24" s="1"/>
  <c r="J4" i="24" s="1"/>
  <c r="K4" i="24" s="1"/>
  <c r="L4" i="24" s="1"/>
  <c r="M4" i="24" s="1"/>
  <c r="N4" i="24" s="1"/>
  <c r="O4" i="24" s="1"/>
  <c r="P4" i="24" s="1"/>
  <c r="I3" i="24"/>
  <c r="J3" i="24" s="1"/>
  <c r="K3" i="24" s="1"/>
  <c r="L3" i="24" s="1"/>
  <c r="M3" i="24" s="1"/>
  <c r="N3" i="24" s="1"/>
  <c r="O3" i="24" s="1"/>
  <c r="P3" i="24" s="1"/>
  <c r="C2" i="24"/>
  <c r="D2" i="24" l="1"/>
  <c r="E2" i="24" s="1"/>
  <c r="F2" i="24" s="1"/>
  <c r="G2" i="24" s="1"/>
  <c r="H2" i="24" s="1"/>
  <c r="I2" i="24" s="1"/>
  <c r="J2" i="24" s="1"/>
  <c r="K2" i="24" s="1"/>
  <c r="L2" i="24" s="1"/>
  <c r="M2" i="24" s="1"/>
  <c r="N2" i="24" s="1"/>
  <c r="O2" i="24" s="1"/>
  <c r="P2" i="24" s="1"/>
  <c r="O4" i="3"/>
  <c r="O53" i="3"/>
  <c r="O60" i="3"/>
  <c r="O18" i="3"/>
  <c r="O11" i="3"/>
  <c r="O39" i="3"/>
  <c r="O32" i="3"/>
  <c r="O46" i="3"/>
  <c r="O25" i="3"/>
  <c r="S88" i="3"/>
  <c r="I17" i="32"/>
  <c r="C6" i="12"/>
  <c r="C10" i="12" s="1"/>
  <c r="D6" i="12"/>
  <c r="D10" i="12" s="1"/>
  <c r="E6" i="12"/>
  <c r="E10" i="12" s="1"/>
  <c r="F6" i="12"/>
  <c r="F10" i="12" s="1"/>
  <c r="G6" i="12"/>
  <c r="G10" i="12" s="1"/>
  <c r="H6" i="12"/>
  <c r="H10" i="12" s="1"/>
  <c r="I6" i="12"/>
  <c r="I10" i="12" s="1"/>
  <c r="J6" i="12"/>
  <c r="J10" i="12" s="1"/>
  <c r="K6" i="12"/>
  <c r="K10" i="12" s="1"/>
  <c r="L6" i="12"/>
  <c r="L10" i="12" s="1"/>
  <c r="L6" i="18"/>
  <c r="L8" i="18" s="1"/>
  <c r="K6" i="18"/>
  <c r="K8" i="18"/>
  <c r="J6" i="18"/>
  <c r="J8" i="18" s="1"/>
  <c r="I6" i="18"/>
  <c r="I8" i="18"/>
  <c r="H6" i="18"/>
  <c r="H8" i="18"/>
  <c r="G6" i="18"/>
  <c r="G8" i="18"/>
  <c r="F6" i="18"/>
  <c r="F8" i="18" s="1"/>
  <c r="F18" i="18" s="1"/>
  <c r="E6" i="18"/>
  <c r="E8" i="18" s="1"/>
  <c r="E18" i="18" s="1"/>
  <c r="D6" i="18"/>
  <c r="D8" i="18" s="1"/>
  <c r="D18" i="18" s="1"/>
  <c r="C6" i="18"/>
  <c r="C8" i="18"/>
  <c r="D13" i="18"/>
  <c r="D16" i="18" s="1"/>
  <c r="E13" i="18"/>
  <c r="E16" i="18"/>
  <c r="F13" i="18"/>
  <c r="F16" i="18"/>
  <c r="G13" i="18"/>
  <c r="G16" i="18"/>
  <c r="H13" i="18"/>
  <c r="H16" i="18" s="1"/>
  <c r="I13" i="18"/>
  <c r="I16" i="18" s="1"/>
  <c r="I18" i="18" s="1"/>
  <c r="J13" i="18"/>
  <c r="J16" i="18" s="1"/>
  <c r="K13" i="18"/>
  <c r="K16" i="18"/>
  <c r="L13" i="18"/>
  <c r="L16" i="18" s="1"/>
  <c r="C13" i="18"/>
  <c r="C16" i="18"/>
  <c r="D10" i="17"/>
  <c r="D11" i="17" s="1"/>
  <c r="I10" i="17"/>
  <c r="J10" i="17"/>
  <c r="K10" i="17"/>
  <c r="L10" i="17"/>
  <c r="E10" i="17"/>
  <c r="E12" i="17" s="1"/>
  <c r="E13" i="17" s="1"/>
  <c r="F10" i="17"/>
  <c r="G10" i="17"/>
  <c r="H10" i="17"/>
  <c r="F12" i="17"/>
  <c r="G12" i="17"/>
  <c r="G13" i="17" s="1"/>
  <c r="Q86" i="3"/>
  <c r="R86" i="3" s="1"/>
  <c r="S86" i="3" s="1"/>
  <c r="T86" i="3" s="1"/>
  <c r="C21" i="6"/>
  <c r="C19" i="6"/>
  <c r="C67" i="34"/>
  <c r="D67" i="34" s="1"/>
  <c r="D69" i="34" s="1"/>
  <c r="C68" i="34"/>
  <c r="D68" i="34" s="1"/>
  <c r="C15" i="26"/>
  <c r="B15" i="24"/>
  <c r="C18" i="6" s="1"/>
  <c r="M3" i="25"/>
  <c r="C73" i="5"/>
  <c r="D73" i="5"/>
  <c r="C66" i="5"/>
  <c r="D66" i="5"/>
  <c r="C60" i="34" s="1"/>
  <c r="D60" i="34" s="1"/>
  <c r="C80" i="5"/>
  <c r="D80" i="5"/>
  <c r="C87" i="5"/>
  <c r="D87" i="5"/>
  <c r="O67" i="3"/>
  <c r="P74" i="3"/>
  <c r="Q81" i="3"/>
  <c r="M9" i="3"/>
  <c r="N9" i="3" s="1"/>
  <c r="O9" i="3" s="1"/>
  <c r="N16" i="3"/>
  <c r="J30" i="3"/>
  <c r="K30" i="3" s="1"/>
  <c r="L30" i="3" s="1"/>
  <c r="M30" i="3" s="1"/>
  <c r="N30" i="3" s="1"/>
  <c r="O30" i="3" s="1"/>
  <c r="P30" i="3" s="1"/>
  <c r="Q30" i="3" s="1"/>
  <c r="R30" i="3" s="1"/>
  <c r="S30" i="3" s="1"/>
  <c r="T30" i="3" s="1"/>
  <c r="K37" i="3"/>
  <c r="L37" i="3" s="1"/>
  <c r="M37" i="3" s="1"/>
  <c r="N37" i="3" s="1"/>
  <c r="O37" i="3" s="1"/>
  <c r="P37" i="3" s="1"/>
  <c r="Q37" i="3" s="1"/>
  <c r="R37" i="3" s="1"/>
  <c r="S37" i="3" s="1"/>
  <c r="T37" i="3" s="1"/>
  <c r="L44" i="3"/>
  <c r="M44" i="3" s="1"/>
  <c r="N44" i="3" s="1"/>
  <c r="O44" i="3" s="1"/>
  <c r="P44" i="3" s="1"/>
  <c r="Q44" i="3" s="1"/>
  <c r="R44" i="3" s="1"/>
  <c r="S44" i="3" s="1"/>
  <c r="T44" i="3" s="1"/>
  <c r="M51" i="3"/>
  <c r="N51" i="3" s="1"/>
  <c r="O51" i="3" s="1"/>
  <c r="P51" i="3" s="1"/>
  <c r="Q51" i="3" s="1"/>
  <c r="R51" i="3" s="1"/>
  <c r="S51" i="3" s="1"/>
  <c r="T51" i="3" s="1"/>
  <c r="N58" i="3"/>
  <c r="O58" i="3" s="1"/>
  <c r="P58" i="3" s="1"/>
  <c r="Q58" i="3" s="1"/>
  <c r="R58" i="3" s="1"/>
  <c r="S58" i="3" s="1"/>
  <c r="T58" i="3" s="1"/>
  <c r="P79" i="3"/>
  <c r="Q79" i="3" s="1"/>
  <c r="R79" i="3" s="1"/>
  <c r="S79" i="3" s="1"/>
  <c r="T79" i="3" s="1"/>
  <c r="C14" i="26"/>
  <c r="N8" i="3"/>
  <c r="N15" i="3"/>
  <c r="N22" i="3"/>
  <c r="N29" i="3"/>
  <c r="N36" i="3"/>
  <c r="N43" i="3"/>
  <c r="N50" i="3"/>
  <c r="N57" i="3"/>
  <c r="N64" i="3"/>
  <c r="M8" i="3"/>
  <c r="M15" i="3"/>
  <c r="M22" i="3"/>
  <c r="M29" i="3"/>
  <c r="M36" i="3"/>
  <c r="M43" i="3"/>
  <c r="M50" i="3"/>
  <c r="M57" i="3"/>
  <c r="L8" i="3"/>
  <c r="L15" i="3"/>
  <c r="L22" i="3"/>
  <c r="L29" i="3"/>
  <c r="L36" i="3"/>
  <c r="L43" i="3"/>
  <c r="L50" i="3"/>
  <c r="K8" i="3"/>
  <c r="K15" i="3"/>
  <c r="K22" i="3"/>
  <c r="K29" i="3"/>
  <c r="K36" i="3"/>
  <c r="K43" i="3"/>
  <c r="J8" i="3"/>
  <c r="J15" i="3"/>
  <c r="J22" i="3"/>
  <c r="J29" i="3"/>
  <c r="J36" i="3"/>
  <c r="I8" i="3"/>
  <c r="I15" i="3"/>
  <c r="I22" i="3"/>
  <c r="I29" i="3"/>
  <c r="H8" i="3"/>
  <c r="H15" i="3"/>
  <c r="H22" i="3"/>
  <c r="G8" i="3"/>
  <c r="G15" i="3"/>
  <c r="F8" i="3"/>
  <c r="E2" i="6"/>
  <c r="F2" i="6" s="1"/>
  <c r="G2" i="6" s="1"/>
  <c r="H2" i="6" s="1"/>
  <c r="I2" i="6" s="1"/>
  <c r="I23" i="3"/>
  <c r="O23" i="3" s="1"/>
  <c r="J23" i="3"/>
  <c r="K23" i="3" s="1"/>
  <c r="L23" i="3" s="1"/>
  <c r="M23" i="3" s="1"/>
  <c r="H16" i="3"/>
  <c r="I16" i="3" s="1"/>
  <c r="J16" i="3" s="1"/>
  <c r="K16" i="3" s="1"/>
  <c r="L16" i="3" s="1"/>
  <c r="G9" i="3"/>
  <c r="H9" i="3" s="1"/>
  <c r="I9" i="3" s="1"/>
  <c r="J9" i="3" s="1"/>
  <c r="K9" i="3" s="1"/>
  <c r="F13" i="17"/>
  <c r="L7" i="25"/>
  <c r="M7" i="25"/>
  <c r="N7" i="25"/>
  <c r="O7" i="25" s="1"/>
  <c r="P7" i="25" s="1"/>
  <c r="Q7" i="25" s="1"/>
  <c r="R7" i="25" s="1"/>
  <c r="S7" i="25" s="1"/>
  <c r="C4" i="25"/>
  <c r="D4" i="25"/>
  <c r="E4" i="25"/>
  <c r="F4" i="25"/>
  <c r="G4" i="25"/>
  <c r="H4" i="25"/>
  <c r="I4" i="25"/>
  <c r="J4" i="25"/>
  <c r="K4" i="25"/>
  <c r="L4" i="25"/>
  <c r="C6" i="25"/>
  <c r="D6" i="25"/>
  <c r="E6" i="25"/>
  <c r="F6" i="25"/>
  <c r="G6" i="25"/>
  <c r="H6" i="25"/>
  <c r="I6" i="25"/>
  <c r="J6" i="25"/>
  <c r="K6" i="25"/>
  <c r="L6" i="25"/>
  <c r="M6" i="25"/>
  <c r="N6" i="25"/>
  <c r="O6" i="25"/>
  <c r="P6" i="25"/>
  <c r="Q6" i="25"/>
  <c r="R6" i="25"/>
  <c r="C8" i="25"/>
  <c r="D8" i="25"/>
  <c r="E8" i="25"/>
  <c r="F8" i="25"/>
  <c r="G8" i="25"/>
  <c r="F3" i="32" s="1"/>
  <c r="H8" i="25"/>
  <c r="I8" i="25"/>
  <c r="J8" i="25"/>
  <c r="D8" i="32" s="1"/>
  <c r="K8" i="25"/>
  <c r="J3" i="32" s="1"/>
  <c r="C3" i="34"/>
  <c r="D3" i="34"/>
  <c r="E3" i="34"/>
  <c r="F3" i="34"/>
  <c r="G3" i="34"/>
  <c r="H3" i="34"/>
  <c r="I3" i="34"/>
  <c r="J3" i="34"/>
  <c r="K3" i="34"/>
  <c r="C4" i="34"/>
  <c r="D4" i="34"/>
  <c r="E4" i="34"/>
  <c r="F4" i="34"/>
  <c r="G4" i="34"/>
  <c r="H4" i="34"/>
  <c r="I4" i="34"/>
  <c r="J4" i="34"/>
  <c r="C5" i="34"/>
  <c r="D5" i="34"/>
  <c r="E5" i="34"/>
  <c r="F5" i="34"/>
  <c r="G5" i="34"/>
  <c r="H5" i="34"/>
  <c r="I5" i="34"/>
  <c r="C6" i="34"/>
  <c r="D6" i="34"/>
  <c r="E6" i="34"/>
  <c r="F6" i="34"/>
  <c r="G6" i="34"/>
  <c r="H6" i="34"/>
  <c r="C7" i="34"/>
  <c r="D7" i="34"/>
  <c r="E7" i="34"/>
  <c r="F7" i="34"/>
  <c r="G7" i="34"/>
  <c r="C8" i="34"/>
  <c r="D8" i="34"/>
  <c r="E8" i="34"/>
  <c r="F8" i="34"/>
  <c r="C9" i="34"/>
  <c r="D9" i="34"/>
  <c r="E9" i="34"/>
  <c r="C10" i="34"/>
  <c r="D10" i="34"/>
  <c r="C11" i="34"/>
  <c r="C39" i="34"/>
  <c r="D39" i="34"/>
  <c r="E39" i="34"/>
  <c r="F39" i="34"/>
  <c r="G39" i="34"/>
  <c r="H39" i="34"/>
  <c r="I39" i="34"/>
  <c r="J39" i="34"/>
  <c r="K39" i="34"/>
  <c r="C40" i="34"/>
  <c r="D40" i="34"/>
  <c r="E40" i="34"/>
  <c r="F40" i="34"/>
  <c r="G40" i="34"/>
  <c r="H40" i="34"/>
  <c r="I40" i="34"/>
  <c r="J40" i="34"/>
  <c r="C41" i="34"/>
  <c r="D41" i="34"/>
  <c r="E41" i="34"/>
  <c r="F41" i="34"/>
  <c r="G41" i="34"/>
  <c r="H41" i="34"/>
  <c r="I41" i="34"/>
  <c r="C42" i="34"/>
  <c r="D42" i="34"/>
  <c r="E42" i="34"/>
  <c r="F42" i="34"/>
  <c r="G42" i="34"/>
  <c r="H42" i="34"/>
  <c r="C43" i="34"/>
  <c r="D43" i="34"/>
  <c r="E43" i="34"/>
  <c r="F43" i="34"/>
  <c r="G43" i="34"/>
  <c r="C44" i="34"/>
  <c r="D44" i="34"/>
  <c r="E44" i="34"/>
  <c r="F44" i="34"/>
  <c r="C45" i="34"/>
  <c r="D45" i="34"/>
  <c r="E45" i="34"/>
  <c r="C46" i="34"/>
  <c r="D46" i="34"/>
  <c r="C47" i="34"/>
  <c r="C27" i="34"/>
  <c r="D27" i="34"/>
  <c r="E27" i="34"/>
  <c r="F27" i="34"/>
  <c r="G27" i="34"/>
  <c r="H27" i="34"/>
  <c r="I27" i="34"/>
  <c r="J27" i="34"/>
  <c r="K27" i="34"/>
  <c r="C28" i="34"/>
  <c r="D28" i="34"/>
  <c r="E28" i="34"/>
  <c r="F28" i="34"/>
  <c r="G28" i="34"/>
  <c r="H28" i="34"/>
  <c r="I28" i="34"/>
  <c r="J28" i="34"/>
  <c r="C29" i="34"/>
  <c r="D29" i="34"/>
  <c r="E29" i="34"/>
  <c r="F29" i="34"/>
  <c r="G29" i="34"/>
  <c r="H29" i="34"/>
  <c r="I29" i="34"/>
  <c r="C30" i="34"/>
  <c r="D30" i="34"/>
  <c r="E30" i="34"/>
  <c r="F30" i="34"/>
  <c r="G30" i="34"/>
  <c r="H30" i="34"/>
  <c r="C31" i="34"/>
  <c r="D31" i="34"/>
  <c r="E31" i="34"/>
  <c r="F31" i="34"/>
  <c r="G31" i="34"/>
  <c r="C32" i="34"/>
  <c r="D32" i="34"/>
  <c r="E32" i="34"/>
  <c r="F32" i="34"/>
  <c r="C33" i="34"/>
  <c r="D33" i="34"/>
  <c r="E33" i="34"/>
  <c r="C34" i="34"/>
  <c r="D34" i="34"/>
  <c r="C35" i="34"/>
  <c r="C15" i="34"/>
  <c r="D15" i="34"/>
  <c r="E15" i="34"/>
  <c r="F15" i="34"/>
  <c r="G15" i="34"/>
  <c r="H15" i="34"/>
  <c r="I15" i="34"/>
  <c r="J15" i="34"/>
  <c r="K15" i="34"/>
  <c r="C16" i="34"/>
  <c r="D16" i="34"/>
  <c r="E16" i="34"/>
  <c r="F16" i="34"/>
  <c r="G16" i="34"/>
  <c r="H16" i="34"/>
  <c r="I16" i="34"/>
  <c r="J16" i="34"/>
  <c r="C17" i="34"/>
  <c r="D17" i="34"/>
  <c r="E17" i="34"/>
  <c r="F17" i="34"/>
  <c r="G17" i="34"/>
  <c r="H17" i="34"/>
  <c r="I17" i="34"/>
  <c r="C18" i="34"/>
  <c r="D18" i="34"/>
  <c r="E18" i="34"/>
  <c r="F18" i="34"/>
  <c r="G18" i="34"/>
  <c r="H18" i="34"/>
  <c r="C19" i="34"/>
  <c r="D19" i="34"/>
  <c r="E19" i="34"/>
  <c r="F19" i="34"/>
  <c r="G19" i="34"/>
  <c r="C20" i="34"/>
  <c r="D20" i="34"/>
  <c r="E20" i="34"/>
  <c r="F20" i="34"/>
  <c r="C21" i="34"/>
  <c r="D21" i="34"/>
  <c r="E21" i="34"/>
  <c r="C22" i="34"/>
  <c r="D22" i="34"/>
  <c r="C23" i="34"/>
  <c r="C10" i="5"/>
  <c r="C52" i="34" s="1"/>
  <c r="D52" i="34" s="1"/>
  <c r="D10" i="5"/>
  <c r="C17" i="5"/>
  <c r="D17" i="5"/>
  <c r="C53" i="34" s="1"/>
  <c r="D53" i="34" s="1"/>
  <c r="C24" i="5"/>
  <c r="D24" i="5"/>
  <c r="C31" i="5"/>
  <c r="D31" i="5"/>
  <c r="C38" i="5"/>
  <c r="C56" i="34" s="1"/>
  <c r="D56" i="34" s="1"/>
  <c r="D38" i="5"/>
  <c r="C45" i="5"/>
  <c r="D45" i="5"/>
  <c r="C52" i="5"/>
  <c r="D52" i="5"/>
  <c r="C59" i="5"/>
  <c r="D59" i="5"/>
  <c r="C3" i="5"/>
  <c r="C51" i="34" s="1"/>
  <c r="D51" i="34" s="1"/>
  <c r="D3" i="5"/>
  <c r="J4" i="32"/>
  <c r="F39" i="32"/>
  <c r="G39" i="32"/>
  <c r="H39" i="32"/>
  <c r="I39" i="32"/>
  <c r="J39" i="32"/>
  <c r="K39" i="32"/>
  <c r="F40" i="32"/>
  <c r="G40" i="32"/>
  <c r="H40" i="32"/>
  <c r="I40" i="32"/>
  <c r="J40" i="32"/>
  <c r="F41" i="32"/>
  <c r="G41" i="32"/>
  <c r="H41" i="32"/>
  <c r="I41" i="32"/>
  <c r="F42" i="32"/>
  <c r="G42" i="32"/>
  <c r="H42" i="32"/>
  <c r="F43" i="32"/>
  <c r="G43" i="32"/>
  <c r="F44" i="32"/>
  <c r="E39" i="32"/>
  <c r="E40" i="32"/>
  <c r="E41" i="32"/>
  <c r="E42" i="32"/>
  <c r="E43" i="32"/>
  <c r="E44" i="32"/>
  <c r="E45" i="32"/>
  <c r="D39" i="32"/>
  <c r="D40" i="32"/>
  <c r="D41" i="32"/>
  <c r="D42" i="32"/>
  <c r="D43" i="32"/>
  <c r="D44" i="32"/>
  <c r="D45" i="32"/>
  <c r="D46" i="32"/>
  <c r="C39" i="32"/>
  <c r="C40" i="32"/>
  <c r="C41" i="32"/>
  <c r="C42" i="32"/>
  <c r="C43" i="32"/>
  <c r="C44" i="32"/>
  <c r="C45" i="32"/>
  <c r="C46" i="32"/>
  <c r="C47" i="32"/>
  <c r="F27" i="32"/>
  <c r="G27" i="32"/>
  <c r="H27" i="32"/>
  <c r="I27" i="32"/>
  <c r="J27" i="32"/>
  <c r="K27" i="32"/>
  <c r="F28" i="32"/>
  <c r="G28" i="32"/>
  <c r="H28" i="32"/>
  <c r="I28" i="32"/>
  <c r="J28" i="32"/>
  <c r="F29" i="32"/>
  <c r="G29" i="32"/>
  <c r="H29" i="32"/>
  <c r="I29" i="32"/>
  <c r="F30" i="32"/>
  <c r="G30" i="32"/>
  <c r="H30" i="32"/>
  <c r="F31" i="32"/>
  <c r="G31" i="32"/>
  <c r="F32" i="32"/>
  <c r="E27" i="32"/>
  <c r="E28" i="32"/>
  <c r="E29" i="32"/>
  <c r="E30" i="32"/>
  <c r="E31" i="32"/>
  <c r="E32" i="32"/>
  <c r="E33" i="32"/>
  <c r="D27" i="32"/>
  <c r="D28" i="32"/>
  <c r="D29" i="32"/>
  <c r="D30" i="32"/>
  <c r="D31" i="32"/>
  <c r="D32" i="32"/>
  <c r="D33" i="32"/>
  <c r="D34" i="32"/>
  <c r="C27" i="32"/>
  <c r="C28" i="32"/>
  <c r="C29" i="32"/>
  <c r="C30" i="32"/>
  <c r="C31" i="32"/>
  <c r="C32" i="32"/>
  <c r="C33" i="32"/>
  <c r="C34" i="32"/>
  <c r="C35" i="32"/>
  <c r="F15" i="32"/>
  <c r="G15" i="32"/>
  <c r="H15" i="32"/>
  <c r="I15" i="32"/>
  <c r="J15" i="32"/>
  <c r="K15" i="32"/>
  <c r="F16" i="32"/>
  <c r="G16" i="32"/>
  <c r="H16" i="32"/>
  <c r="I16" i="32"/>
  <c r="J16" i="32"/>
  <c r="F17" i="32"/>
  <c r="G17" i="32"/>
  <c r="H17" i="32"/>
  <c r="F18" i="32"/>
  <c r="G18" i="32"/>
  <c r="H18" i="32"/>
  <c r="F19" i="32"/>
  <c r="G19" i="32"/>
  <c r="F20" i="32"/>
  <c r="E15" i="32"/>
  <c r="E16" i="32"/>
  <c r="E17" i="32"/>
  <c r="E18" i="32"/>
  <c r="E19" i="32"/>
  <c r="E20" i="32"/>
  <c r="E21" i="32"/>
  <c r="D15" i="32"/>
  <c r="D16" i="32"/>
  <c r="D17" i="32"/>
  <c r="D18" i="32"/>
  <c r="D19" i="32"/>
  <c r="D20" i="32"/>
  <c r="D21" i="32"/>
  <c r="D22" i="32"/>
  <c r="C15" i="32"/>
  <c r="C16" i="32"/>
  <c r="C17" i="32"/>
  <c r="C18" i="32"/>
  <c r="C19" i="32"/>
  <c r="C20" i="32"/>
  <c r="C21" i="32"/>
  <c r="C22" i="32"/>
  <c r="C23" i="32"/>
  <c r="K3" i="32"/>
  <c r="I5" i="32"/>
  <c r="H3" i="32"/>
  <c r="H6" i="32"/>
  <c r="G4" i="32"/>
  <c r="G7" i="32"/>
  <c r="F8" i="32"/>
  <c r="E4" i="32"/>
  <c r="E9" i="32"/>
  <c r="D5" i="32"/>
  <c r="D10" i="32"/>
  <c r="G6" i="32"/>
  <c r="C6" i="19"/>
  <c r="E6" i="19"/>
  <c r="E7" i="19"/>
  <c r="E8" i="19"/>
  <c r="E9" i="19"/>
  <c r="E10" i="19"/>
  <c r="E11" i="19"/>
  <c r="E12" i="19"/>
  <c r="E13" i="19"/>
  <c r="E14" i="19"/>
  <c r="E15" i="19"/>
  <c r="E16" i="19"/>
  <c r="E17" i="19"/>
  <c r="C7" i="19"/>
  <c r="C8" i="19"/>
  <c r="C9" i="19"/>
  <c r="C10" i="19"/>
  <c r="C11" i="19"/>
  <c r="C12" i="19"/>
  <c r="C13" i="19"/>
  <c r="C14" i="19"/>
  <c r="C15" i="19"/>
  <c r="C16" i="19"/>
  <c r="C17" i="19"/>
  <c r="E5" i="19"/>
  <c r="C5" i="19"/>
  <c r="D5" i="19" s="1"/>
  <c r="D6" i="19" s="1"/>
  <c r="D7" i="19" s="1"/>
  <c r="D8" i="19" s="1"/>
  <c r="C58" i="34"/>
  <c r="D58" i="34" s="1"/>
  <c r="C57" i="34"/>
  <c r="D57" i="34" s="1"/>
  <c r="C59" i="34"/>
  <c r="D59" i="34"/>
  <c r="C55" i="34"/>
  <c r="D55" i="34"/>
  <c r="G5" i="32"/>
  <c r="I3" i="32"/>
  <c r="E7" i="32"/>
  <c r="E3" i="32"/>
  <c r="D4" i="32"/>
  <c r="E6" i="32"/>
  <c r="D7" i="32"/>
  <c r="F5" i="32"/>
  <c r="D3" i="32"/>
  <c r="F6" i="32"/>
  <c r="H5" i="32"/>
  <c r="C18" i="18"/>
  <c r="J18" i="18" l="1"/>
  <c r="L18" i="18"/>
  <c r="D12" i="17"/>
  <c r="D13" i="17" s="1"/>
  <c r="C24" i="32"/>
  <c r="F36" i="32"/>
  <c r="K18" i="18"/>
  <c r="P23" i="3"/>
  <c r="Q23" i="3" s="1"/>
  <c r="R23" i="3" s="1"/>
  <c r="S23" i="3" s="1"/>
  <c r="T23" i="3" s="1"/>
  <c r="F5" i="19"/>
  <c r="F6" i="19" s="1"/>
  <c r="T88" i="3"/>
  <c r="S90" i="3"/>
  <c r="S89" i="3"/>
  <c r="S91" i="3"/>
  <c r="N3" i="25"/>
  <c r="O18" i="5"/>
  <c r="O27" i="3"/>
  <c r="P25" i="3"/>
  <c r="O26" i="3"/>
  <c r="O28" i="3"/>
  <c r="O49" i="3"/>
  <c r="O47" i="3"/>
  <c r="P46" i="3"/>
  <c r="O48" i="3"/>
  <c r="E11" i="17"/>
  <c r="F11" i="17" s="1"/>
  <c r="G11" i="17" s="1"/>
  <c r="H11" i="17" s="1"/>
  <c r="I11" i="17" s="1"/>
  <c r="P32" i="3"/>
  <c r="O34" i="3"/>
  <c r="O33" i="3"/>
  <c r="O35" i="3"/>
  <c r="O16" i="3"/>
  <c r="P16" i="3" s="1"/>
  <c r="Q16" i="3" s="1"/>
  <c r="R16" i="3" s="1"/>
  <c r="S16" i="3" s="1"/>
  <c r="T16" i="3" s="1"/>
  <c r="P39" i="3"/>
  <c r="O41" i="3"/>
  <c r="O40" i="3"/>
  <c r="O42" i="3"/>
  <c r="P9" i="3"/>
  <c r="G18" i="18"/>
  <c r="P11" i="3"/>
  <c r="O14" i="3"/>
  <c r="O13" i="3"/>
  <c r="O12" i="3"/>
  <c r="R81" i="3"/>
  <c r="Q84" i="3"/>
  <c r="Q83" i="3"/>
  <c r="Q82" i="3"/>
  <c r="P18" i="3"/>
  <c r="O19" i="3"/>
  <c r="O20" i="3"/>
  <c r="O21" i="3"/>
  <c r="Q74" i="3"/>
  <c r="P77" i="3"/>
  <c r="P76" i="3"/>
  <c r="P75" i="3"/>
  <c r="H18" i="18"/>
  <c r="P60" i="3"/>
  <c r="O61" i="3"/>
  <c r="O63" i="3"/>
  <c r="O62" i="3"/>
  <c r="P67" i="3"/>
  <c r="O70" i="3"/>
  <c r="O69" i="3"/>
  <c r="O68" i="3"/>
  <c r="O56" i="3"/>
  <c r="P53" i="3"/>
  <c r="O55" i="3"/>
  <c r="O54" i="3"/>
  <c r="C54" i="34"/>
  <c r="D54" i="34" s="1"/>
  <c r="D3" i="26"/>
  <c r="D3" i="6" s="1"/>
  <c r="O5" i="3"/>
  <c r="P4" i="3"/>
  <c r="O7" i="3"/>
  <c r="D6" i="26" s="1"/>
  <c r="O6" i="3"/>
  <c r="J12" i="17"/>
  <c r="J13" i="17" s="1"/>
  <c r="J11" i="17"/>
  <c r="C36" i="32"/>
  <c r="D48" i="32"/>
  <c r="E48" i="32"/>
  <c r="C24" i="34"/>
  <c r="C12" i="34"/>
  <c r="E5" i="32"/>
  <c r="D6" i="32"/>
  <c r="G3" i="32"/>
  <c r="G12" i="32" s="1"/>
  <c r="F4" i="32"/>
  <c r="I12" i="17"/>
  <c r="I13" i="17" s="1"/>
  <c r="F48" i="32"/>
  <c r="C48" i="34"/>
  <c r="H12" i="17"/>
  <c r="H13" i="17" s="1"/>
  <c r="E24" i="32"/>
  <c r="C36" i="34"/>
  <c r="D9" i="19"/>
  <c r="D10" i="19" s="1"/>
  <c r="D11" i="19" s="1"/>
  <c r="D12" i="19" s="1"/>
  <c r="D13" i="19" s="1"/>
  <c r="D14" i="19" s="1"/>
  <c r="D15" i="19" s="1"/>
  <c r="D16" i="19" s="1"/>
  <c r="D17" i="19" s="1"/>
  <c r="D36" i="32"/>
  <c r="E36" i="32"/>
  <c r="C48" i="32"/>
  <c r="F7" i="19"/>
  <c r="F8" i="19" s="1"/>
  <c r="F9" i="19" s="1"/>
  <c r="F10" i="19" s="1"/>
  <c r="F11" i="19" s="1"/>
  <c r="F12" i="19" s="1"/>
  <c r="F13" i="19" s="1"/>
  <c r="F14" i="19" s="1"/>
  <c r="F15" i="19" s="1"/>
  <c r="F16" i="19" s="1"/>
  <c r="F17" i="19" s="1"/>
  <c r="D9" i="32"/>
  <c r="D12" i="32" s="1"/>
  <c r="E8" i="32"/>
  <c r="F7" i="32"/>
  <c r="F24" i="32"/>
  <c r="O74" i="5"/>
  <c r="C61" i="34" s="1"/>
  <c r="D61" i="34" s="1"/>
  <c r="I4" i="32"/>
  <c r="I12" i="32" s="1"/>
  <c r="H4" i="32"/>
  <c r="H12" i="32" s="1"/>
  <c r="D24" i="32"/>
  <c r="P41" i="3" l="1"/>
  <c r="P40" i="3"/>
  <c r="Q39" i="3"/>
  <c r="P42" i="3"/>
  <c r="D7" i="38"/>
  <c r="O3" i="25"/>
  <c r="P25" i="5"/>
  <c r="D9" i="26"/>
  <c r="P69" i="3"/>
  <c r="P70" i="3"/>
  <c r="P68" i="3"/>
  <c r="Q67" i="3"/>
  <c r="P20" i="3"/>
  <c r="Q18" i="3"/>
  <c r="P19" i="3"/>
  <c r="P21" i="3"/>
  <c r="R84" i="3"/>
  <c r="R83" i="3"/>
  <c r="S81" i="3"/>
  <c r="R82" i="3"/>
  <c r="P35" i="3"/>
  <c r="P33" i="3"/>
  <c r="P34" i="3"/>
  <c r="Q32" i="3"/>
  <c r="T91" i="3"/>
  <c r="T89" i="3"/>
  <c r="T90" i="3"/>
  <c r="E12" i="32"/>
  <c r="F12" i="32"/>
  <c r="D5" i="26"/>
  <c r="P81" i="5"/>
  <c r="C62" i="34" s="1"/>
  <c r="D62" i="34" s="1"/>
  <c r="Q4" i="3"/>
  <c r="E3" i="26"/>
  <c r="P7" i="3"/>
  <c r="P6" i="3"/>
  <c r="P5" i="3"/>
  <c r="P14" i="3"/>
  <c r="P13" i="3"/>
  <c r="P12" i="3"/>
  <c r="Q11" i="3"/>
  <c r="P63" i="3"/>
  <c r="P61" i="3"/>
  <c r="Q60" i="3"/>
  <c r="P62" i="3"/>
  <c r="D4" i="26"/>
  <c r="D4" i="6" s="1"/>
  <c r="E5" i="26"/>
  <c r="Q9" i="3"/>
  <c r="E8" i="26"/>
  <c r="P49" i="3"/>
  <c r="P47" i="3"/>
  <c r="Q46" i="3"/>
  <c r="P48" i="3"/>
  <c r="D8" i="26"/>
  <c r="Q77" i="3"/>
  <c r="Q75" i="3"/>
  <c r="Q76" i="3"/>
  <c r="R74" i="3"/>
  <c r="P28" i="3"/>
  <c r="P26" i="3"/>
  <c r="Q25" i="3"/>
  <c r="P27" i="3"/>
  <c r="P56" i="3"/>
  <c r="P54" i="3"/>
  <c r="Q53" i="3"/>
  <c r="P55" i="3"/>
  <c r="K11" i="17"/>
  <c r="K12" i="17"/>
  <c r="K13" i="17" s="1"/>
  <c r="Q62" i="3" l="1"/>
  <c r="Q63" i="3"/>
  <c r="Q61" i="3"/>
  <c r="R60" i="3"/>
  <c r="R18" i="3"/>
  <c r="Q19" i="3"/>
  <c r="Q20" i="3"/>
  <c r="Q21" i="3"/>
  <c r="R67" i="3"/>
  <c r="Q69" i="3"/>
  <c r="Q70" i="3"/>
  <c r="Q68" i="3"/>
  <c r="R77" i="3"/>
  <c r="R76" i="3"/>
  <c r="R75" i="3"/>
  <c r="S74" i="3"/>
  <c r="R11" i="3"/>
  <c r="Q13" i="3"/>
  <c r="Q12" i="3"/>
  <c r="Q14" i="3"/>
  <c r="R32" i="3"/>
  <c r="Q35" i="3"/>
  <c r="Q33" i="3"/>
  <c r="Q34" i="3"/>
  <c r="P3" i="25"/>
  <c r="Q32" i="5"/>
  <c r="Q88" i="5"/>
  <c r="C63" i="34" s="1"/>
  <c r="D63" i="34" s="1"/>
  <c r="Q27" i="3"/>
  <c r="R25" i="3"/>
  <c r="Q28" i="3"/>
  <c r="Q26" i="3"/>
  <c r="D10" i="26"/>
  <c r="E4" i="26"/>
  <c r="E7" i="38"/>
  <c r="D7" i="6"/>
  <c r="Q48" i="3"/>
  <c r="Q47" i="3"/>
  <c r="R46" i="3"/>
  <c r="Q49" i="3"/>
  <c r="S84" i="3"/>
  <c r="S82" i="3"/>
  <c r="T81" i="3"/>
  <c r="S83" i="3"/>
  <c r="Q55" i="3"/>
  <c r="Q56" i="3"/>
  <c r="Q54" i="3"/>
  <c r="R53" i="3"/>
  <c r="E6" i="26"/>
  <c r="R39" i="3"/>
  <c r="Q42" i="3"/>
  <c r="Q40" i="3"/>
  <c r="Q41" i="3"/>
  <c r="E3" i="6"/>
  <c r="E9" i="26"/>
  <c r="R9" i="3"/>
  <c r="F8" i="26"/>
  <c r="F3" i="26"/>
  <c r="R4" i="3"/>
  <c r="Q5" i="3"/>
  <c r="F4" i="26" s="1"/>
  <c r="Q7" i="3"/>
  <c r="F6" i="26" s="1"/>
  <c r="Q6" i="3"/>
  <c r="F5" i="26" s="1"/>
  <c r="L12" i="17"/>
  <c r="L13" i="17" s="1"/>
  <c r="L11" i="17"/>
  <c r="G3" i="26" l="1"/>
  <c r="R6" i="3"/>
  <c r="R5" i="3"/>
  <c r="R7" i="3"/>
  <c r="S4" i="3"/>
  <c r="T83" i="3"/>
  <c r="T84" i="3"/>
  <c r="T82" i="3"/>
  <c r="F3" i="6"/>
  <c r="F9" i="26"/>
  <c r="F4" i="6" s="1"/>
  <c r="F10" i="26"/>
  <c r="Q3" i="25"/>
  <c r="R39" i="5"/>
  <c r="S67" i="3"/>
  <c r="R70" i="3"/>
  <c r="R69" i="3"/>
  <c r="R68" i="3"/>
  <c r="S9" i="3"/>
  <c r="G8" i="26"/>
  <c r="R49" i="3"/>
  <c r="R47" i="3"/>
  <c r="S46" i="3"/>
  <c r="R48" i="3"/>
  <c r="R26" i="3"/>
  <c r="R27" i="3"/>
  <c r="R28" i="3"/>
  <c r="S25" i="3"/>
  <c r="S32" i="3"/>
  <c r="R34" i="3"/>
  <c r="R35" i="3"/>
  <c r="R33" i="3"/>
  <c r="R19" i="3"/>
  <c r="R20" i="3"/>
  <c r="R21" i="3"/>
  <c r="S18" i="3"/>
  <c r="R61" i="3"/>
  <c r="S60" i="3"/>
  <c r="R63" i="3"/>
  <c r="R62" i="3"/>
  <c r="F7" i="38"/>
  <c r="E7" i="6"/>
  <c r="S39" i="3"/>
  <c r="R41" i="3"/>
  <c r="R42" i="3"/>
  <c r="R40" i="3"/>
  <c r="E4" i="6"/>
  <c r="R13" i="3"/>
  <c r="R14" i="3"/>
  <c r="R12" i="3"/>
  <c r="S11" i="3"/>
  <c r="D11" i="26"/>
  <c r="D5" i="6"/>
  <c r="D6" i="6" s="1"/>
  <c r="D10" i="6" s="1"/>
  <c r="S77" i="3"/>
  <c r="T74" i="3"/>
  <c r="S75" i="3"/>
  <c r="S76" i="3"/>
  <c r="E10" i="26"/>
  <c r="S53" i="3"/>
  <c r="R55" i="3"/>
  <c r="R54" i="3"/>
  <c r="R56" i="3"/>
  <c r="E6" i="6" l="1"/>
  <c r="E10" i="6" s="1"/>
  <c r="R3" i="25"/>
  <c r="S46" i="5"/>
  <c r="S33" i="3"/>
  <c r="S35" i="3"/>
  <c r="T32" i="3"/>
  <c r="S34" i="3"/>
  <c r="S54" i="3"/>
  <c r="S56" i="3"/>
  <c r="S55" i="3"/>
  <c r="T53" i="3"/>
  <c r="T39" i="3"/>
  <c r="S42" i="3"/>
  <c r="S41" i="3"/>
  <c r="S40" i="3"/>
  <c r="S28" i="3"/>
  <c r="S26" i="3"/>
  <c r="T25" i="3"/>
  <c r="S27" i="3"/>
  <c r="F11" i="26"/>
  <c r="F5" i="6"/>
  <c r="E11" i="26"/>
  <c r="E5" i="6"/>
  <c r="G7" i="38"/>
  <c r="F7" i="6"/>
  <c r="F6" i="6"/>
  <c r="F10" i="6" s="1"/>
  <c r="T76" i="3"/>
  <c r="T77" i="3"/>
  <c r="T75" i="3"/>
  <c r="S63" i="3"/>
  <c r="T60" i="3"/>
  <c r="S61" i="3"/>
  <c r="S62" i="3"/>
  <c r="S47" i="3"/>
  <c r="S49" i="3"/>
  <c r="T46" i="3"/>
  <c r="S48" i="3"/>
  <c r="H3" i="26"/>
  <c r="S7" i="3"/>
  <c r="T4" i="3"/>
  <c r="S6" i="3"/>
  <c r="S5" i="3"/>
  <c r="S20" i="3"/>
  <c r="S19" i="3"/>
  <c r="S21" i="3"/>
  <c r="T18" i="3"/>
  <c r="G6" i="26"/>
  <c r="S12" i="3"/>
  <c r="T11" i="3"/>
  <c r="S14" i="3"/>
  <c r="S13" i="3"/>
  <c r="G4" i="26"/>
  <c r="T9" i="3"/>
  <c r="I8" i="26" s="1"/>
  <c r="H8" i="26"/>
  <c r="G5" i="26"/>
  <c r="G10" i="26" s="1"/>
  <c r="G3" i="6"/>
  <c r="G9" i="26"/>
  <c r="S70" i="3"/>
  <c r="S68" i="3"/>
  <c r="T67" i="3"/>
  <c r="S69" i="3"/>
  <c r="G11" i="26" l="1"/>
  <c r="G5" i="6"/>
  <c r="T13" i="3"/>
  <c r="T14" i="3"/>
  <c r="T12" i="3"/>
  <c r="T68" i="3"/>
  <c r="T69" i="3"/>
  <c r="T70" i="3"/>
  <c r="T21" i="3"/>
  <c r="T19" i="3"/>
  <c r="T20" i="3"/>
  <c r="T41" i="3"/>
  <c r="T42" i="3"/>
  <c r="T40" i="3"/>
  <c r="T62" i="3"/>
  <c r="T63" i="3"/>
  <c r="T61" i="3"/>
  <c r="T56" i="3"/>
  <c r="T54" i="3"/>
  <c r="T55" i="3"/>
  <c r="H4" i="26"/>
  <c r="H5" i="26"/>
  <c r="H6" i="26"/>
  <c r="H3" i="6"/>
  <c r="H9" i="26"/>
  <c r="T35" i="3"/>
  <c r="T33" i="3"/>
  <c r="T34" i="3"/>
  <c r="I3" i="26"/>
  <c r="T6" i="3"/>
  <c r="I5" i="26" s="1"/>
  <c r="T7" i="3"/>
  <c r="I6" i="26" s="1"/>
  <c r="T5" i="3"/>
  <c r="I4" i="26" s="1"/>
  <c r="G6" i="6"/>
  <c r="G10" i="6" s="1"/>
  <c r="G4" i="6"/>
  <c r="T48" i="3"/>
  <c r="T47" i="3"/>
  <c r="T49" i="3"/>
  <c r="H7" i="38"/>
  <c r="G7" i="6"/>
  <c r="T26" i="3"/>
  <c r="T28" i="3"/>
  <c r="T27" i="3"/>
  <c r="S3" i="25"/>
  <c r="T53" i="5"/>
  <c r="I3" i="6" l="1"/>
  <c r="I9" i="26"/>
  <c r="H4" i="6"/>
  <c r="H6" i="6" s="1"/>
  <c r="H10" i="6" s="1"/>
  <c r="H10" i="26"/>
  <c r="H5" i="6" s="1"/>
  <c r="I7" i="38"/>
  <c r="I7" i="6" s="1"/>
  <c r="H7" i="6"/>
  <c r="I4" i="6"/>
  <c r="H11" i="26" l="1"/>
  <c r="I10" i="26"/>
  <c r="I5" i="6" s="1"/>
  <c r="I6" i="6" s="1"/>
  <c r="I10" i="6" s="1"/>
  <c r="I11" i="6" l="1"/>
  <c r="C13" i="6" s="1"/>
  <c r="C14" i="6" s="1"/>
  <c r="C15" i="6" s="1"/>
  <c r="I11"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Mitchell Petersen</author>
  </authors>
  <commentList>
    <comment ref="B12" authorId="0" shapeId="0" xr:uid="{00000000-0006-0000-0300-000001000000}">
      <text>
        <r>
          <rPr>
            <sz val="8"/>
            <color indexed="81"/>
            <rFont val="Tahoma"/>
            <family val="2"/>
          </rPr>
          <t>Cash taxes. Taxes are zero when there are intial losses. The initial losses lower the tax payments in futures years. Tax loss carry forwards are calculated in row 11</t>
        </r>
      </text>
    </comment>
  </commentList>
</comments>
</file>

<file path=xl/sharedStrings.xml><?xml version="1.0" encoding="utf-8"?>
<sst xmlns="http://schemas.openxmlformats.org/spreadsheetml/2006/main" count="311" uniqueCount="102">
  <si>
    <t>Sales</t>
  </si>
  <si>
    <t>CGS</t>
  </si>
  <si>
    <t>CGS (% sales)</t>
  </si>
  <si>
    <t>Average</t>
  </si>
  <si>
    <t xml:space="preserve">   Advertising</t>
  </si>
  <si>
    <t>Taxes</t>
  </si>
  <si>
    <t>Parameters:</t>
  </si>
  <si>
    <t>PPE</t>
  </si>
  <si>
    <t xml:space="preserve">   Depreciation</t>
  </si>
  <si>
    <t>Lease</t>
  </si>
  <si>
    <t>Accounts Receivable</t>
  </si>
  <si>
    <t>Inventory</t>
  </si>
  <si>
    <t>Accounts Payable</t>
  </si>
  <si>
    <t>Accrued Expenses</t>
  </si>
  <si>
    <t>Depreciation (years)</t>
  </si>
  <si>
    <t xml:space="preserve">  Advertising</t>
  </si>
  <si>
    <t xml:space="preserve">  Depreciation</t>
  </si>
  <si>
    <t>SGA</t>
  </si>
  <si>
    <t>Net income</t>
  </si>
  <si>
    <t>Corp Expense (inc lease/adv)</t>
  </si>
  <si>
    <t>Furniture sales ($B)</t>
  </si>
  <si>
    <t>Year</t>
  </si>
  <si>
    <t>Sales growth</t>
  </si>
  <si>
    <t>Avg Size</t>
  </si>
  <si>
    <t>Assets</t>
  </si>
  <si>
    <t>Liabilities and Equity</t>
  </si>
  <si>
    <t xml:space="preserve">    Total Current Assets</t>
  </si>
  <si>
    <t xml:space="preserve">    Total Assets</t>
  </si>
  <si>
    <t xml:space="preserve">    Total Current Liabilities </t>
  </si>
  <si>
    <t>Debt</t>
  </si>
  <si>
    <t>Equity</t>
  </si>
  <si>
    <t xml:space="preserve">    Total Liabilities and Equity</t>
  </si>
  <si>
    <t>SQ FT</t>
  </si>
  <si>
    <t>Total</t>
  </si>
  <si>
    <t>Balance sheet check</t>
  </si>
  <si>
    <t xml:space="preserve"> </t>
  </si>
  <si>
    <t>Nominal</t>
  </si>
  <si>
    <t>Share value</t>
  </si>
  <si>
    <t>Shareholders (#)</t>
  </si>
  <si>
    <t>Shares outstanding (K)</t>
  </si>
  <si>
    <t xml:space="preserve">  - Costs</t>
  </si>
  <si>
    <t xml:space="preserve">  - Taxes</t>
  </si>
  <si>
    <t xml:space="preserve">  + Depreciation</t>
  </si>
  <si>
    <t xml:space="preserve">  - Increase in NWC</t>
  </si>
  <si>
    <t>Stores</t>
  </si>
  <si>
    <t>Opened</t>
  </si>
  <si>
    <t>GDP (T$)</t>
  </si>
  <si>
    <t xml:space="preserve">   Inflation (CPI)</t>
  </si>
  <si>
    <t xml:space="preserve">   Furniture sales growth</t>
  </si>
  <si>
    <t>#</t>
  </si>
  <si>
    <t xml:space="preserve">Lease </t>
  </si>
  <si>
    <t>Lease inflation</t>
  </si>
  <si>
    <t>Advertising</t>
  </si>
  <si>
    <t>Construction costs</t>
  </si>
  <si>
    <t>Real</t>
  </si>
  <si>
    <t>Refresh cost</t>
  </si>
  <si>
    <t>Exhibit 8: Forecasting Sales Revenue and Costs</t>
  </si>
  <si>
    <t>Exhibit 9: Forecasting Investment</t>
  </si>
  <si>
    <t>Exhibit 10: Forecasting Parameters</t>
  </si>
  <si>
    <t>Discount rate</t>
  </si>
  <si>
    <t>Cost of goods sold</t>
  </si>
  <si>
    <t>Selling, general and admin</t>
  </si>
  <si>
    <t>Corporate expenses</t>
  </si>
  <si>
    <t>Corporate tax rate</t>
  </si>
  <si>
    <t>SGA (% sales, excluding dep &amp; advertising)</t>
  </si>
  <si>
    <t>Accounts Receivable (% sales)</t>
  </si>
  <si>
    <t>Inventory (% next year's CGS)</t>
  </si>
  <si>
    <t>Accounts Payable (% next year's CGS)</t>
  </si>
  <si>
    <t xml:space="preserve">Exhibit 7: Teuer Furniture Cash Flow Assets </t>
  </si>
  <si>
    <t xml:space="preserve">Exhibit 6: Teuer Furniture Balance Sheet for Individual Showrooms </t>
  </si>
  <si>
    <t xml:space="preserve">Exhibit 5: Teuer Furniture Income Statement for Individual Showrooms </t>
  </si>
  <si>
    <t>Exhibit 1: Teuer Furnitures Showrooms and Square Footage</t>
  </si>
  <si>
    <t xml:space="preserve">  - Capital expenditure</t>
  </si>
  <si>
    <t>Exhibit 2: Economic Indicators: GDP and Furniture Sales Growth</t>
  </si>
  <si>
    <t>Exhibit 3: Teuer Furniture Income Statement</t>
  </si>
  <si>
    <t>Exhibit 4: Teuer Furniture Balance Sheet</t>
  </si>
  <si>
    <t>Refresh  cost</t>
  </si>
  <si>
    <t>Cap expenditure</t>
  </si>
  <si>
    <t>Accts receivable</t>
  </si>
  <si>
    <t>Accts payable</t>
  </si>
  <si>
    <t>Accr expenses</t>
  </si>
  <si>
    <t>Lease rate (2013)</t>
  </si>
  <si>
    <t>Corporate expense</t>
  </si>
  <si>
    <t xml:space="preserve">   GDP growth </t>
  </si>
  <si>
    <t>CPI index</t>
  </si>
  <si>
    <t>Cash flow to assets</t>
  </si>
  <si>
    <t>Advertising (% sales)</t>
  </si>
  <si>
    <t>Accrued expenses (next year's SGA adv)</t>
  </si>
  <si>
    <t>Long-term growth rate</t>
  </si>
  <si>
    <t>Teuer Furniture Pro Forma Income Statement</t>
  </si>
  <si>
    <t xml:space="preserve">Teuer Furniture Pro Forma Cash Flow Assets </t>
  </si>
  <si>
    <t>Terminal value</t>
  </si>
  <si>
    <t xml:space="preserve">     Taxable income</t>
  </si>
  <si>
    <t xml:space="preserve">     Tax loss carry forward </t>
  </si>
  <si>
    <t>Cash flows from assets</t>
  </si>
  <si>
    <t>Enterprise value</t>
  </si>
  <si>
    <t>Equity value</t>
  </si>
  <si>
    <t>Exhibit TN4: Teuer Furniture Pro Forma Balance Sheet</t>
  </si>
  <si>
    <t>Balance sheet check (A=L+E)</t>
  </si>
  <si>
    <t/>
  </si>
  <si>
    <t>Costs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</si>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</sst>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0.0%"/>
    <numFmt numFmtId="166" formatCode="0.0"/>
    <numFmt numFmtId="167" formatCode="#,##0.0"/>
    <numFmt numFmtId="168" formatCode="0.000"/>
    <numFmt numFmtId="169" formatCode="_(* #,##0.0_);_(* \(#,##0.0\);_(* &quot;-&quot;??_);_(@_)"/>
    <numFmt numFmtId="170" formatCode="0.0_);\(0.0\)"/>
    <numFmt numFmtId="171" formatCode="#,##0.0\x"/>
    <numFmt numFmtId="172" formatCode="#,##0.0000"/>
    <numFmt numFmtId="173" formatCode="#,##0.000_);\(#,##0.000\)"/>
  </numFmts>
  <fonts count="19" x14ac:knownFonts="1">
    <font>
      <sz val="11"/>
      <color theme="1"/>
      <name val="Calibri"/>
      <family val="2"/>
      <scheme val="minor"/>
    </font>
    <font>
      <sz val="11"/>
      <color theme="1"/>
      <name val="Calibri"/>
      <family val="2"/>
      <scheme val="minor"/>
    </font>
    <font>
      <i/>
      <sz val="11"/>
      <color theme="1"/>
      <name val="Calibri"/>
      <family val="2"/>
      <scheme val="minor"/>
    </font>
    <font>
      <sz val="8"/>
      <color indexed="81"/>
      <name val="Tahoma"/>
      <family val="2"/>
    </font>
    <font>
      <b/>
      <sz val="14"/>
      <color theme="1"/>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0"/>
      <color theme="1"/>
      <name val="Arial"/>
      <family val="2"/>
    </font>
    <font>
      <sz val="11"/>
      <color rgb="FF000000"/>
      <name val="Calibri"/>
      <family val="2"/>
      <scheme val="minor"/>
    </font>
    <font>
      <b/>
      <sz val="12"/>
      <color theme="1"/>
      <name val="Calibri"/>
      <family val="2"/>
      <scheme val="minor"/>
    </font>
    <font>
      <sz val="11"/>
      <color rgb="FF0000FF"/>
      <name val="Calibri"/>
      <family val="2"/>
      <scheme val="minor"/>
    </font>
    <font>
      <sz val="11"/>
      <name val="Calibri"/>
      <family val="2"/>
      <scheme val="minor"/>
    </font>
    <font>
      <sz val="8"/>
      <color theme="1"/>
      <name val="Calibri"/>
      <family val="2"/>
      <scheme val="minor"/>
    </font>
    <font>
      <i/>
      <sz val="8"/>
      <color theme="1"/>
      <name val="Calibri"/>
      <family val="2"/>
      <scheme val="minor"/>
    </font>
    <font>
      <sz val="8"/>
      <color rgb="FF0000FF"/>
      <name val="Calibri"/>
      <family val="2"/>
      <scheme val="minor"/>
    </font>
    <font>
      <sz val="8"/>
      <name val="Calibri"/>
      <family val="2"/>
      <scheme val="minor"/>
    </font>
    <font>
      <sz val="11"/>
      <color indexed="12"/>
      <name val="Calibri"/>
      <family val="2"/>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auto="1"/>
      </bottom>
      <diagonal/>
    </border>
    <border>
      <left/>
      <right/>
      <top style="hair">
        <color auto="1"/>
      </top>
      <bottom/>
      <diagonal/>
    </border>
  </borders>
  <cellStyleXfs count="7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5">
    <xf numFmtId="0" fontId="0" fillId="0" borderId="0" xfId="0"/>
    <xf numFmtId="164" fontId="0" fillId="0" borderId="0" xfId="1" applyNumberFormat="1" applyFont="1"/>
    <xf numFmtId="164" fontId="0" fillId="0" borderId="0" xfId="0" applyNumberFormat="1"/>
    <xf numFmtId="9" fontId="0" fillId="0" borderId="0" xfId="2" applyFont="1"/>
    <xf numFmtId="0" fontId="0" fillId="0" borderId="1" xfId="0" applyBorder="1"/>
    <xf numFmtId="9" fontId="0" fillId="0" borderId="0" xfId="0" applyNumberFormat="1"/>
    <xf numFmtId="165" fontId="0" fillId="0" borderId="0" xfId="2" applyNumberFormat="1" applyFont="1"/>
    <xf numFmtId="3" fontId="0" fillId="0" borderId="0" xfId="0" applyNumberFormat="1"/>
    <xf numFmtId="166" fontId="0" fillId="0" borderId="0" xfId="0" applyNumberFormat="1"/>
    <xf numFmtId="0" fontId="2" fillId="0" borderId="1" xfId="0" applyFont="1" applyBorder="1"/>
    <xf numFmtId="0" fontId="4" fillId="0" borderId="0" xfId="0" applyFont="1"/>
    <xf numFmtId="3" fontId="0" fillId="0" borderId="1" xfId="0" applyNumberFormat="1" applyBorder="1"/>
    <xf numFmtId="0" fontId="5" fillId="0" borderId="0" xfId="0" applyFont="1"/>
    <xf numFmtId="0" fontId="0" fillId="0" borderId="0" xfId="0" quotePrefix="1"/>
    <xf numFmtId="43" fontId="0" fillId="0" borderId="0" xfId="1" applyFont="1"/>
    <xf numFmtId="0" fontId="9" fillId="0" borderId="0" xfId="0" applyFont="1"/>
    <xf numFmtId="167" fontId="0" fillId="0" borderId="0" xfId="0" applyNumberFormat="1"/>
    <xf numFmtId="10" fontId="0" fillId="0" borderId="0" xfId="0" applyNumberFormat="1"/>
    <xf numFmtId="165" fontId="1" fillId="0" borderId="0" xfId="2" applyNumberFormat="1" applyFont="1"/>
    <xf numFmtId="169" fontId="0" fillId="0" borderId="0" xfId="1" applyNumberFormat="1" applyFont="1"/>
    <xf numFmtId="0" fontId="6" fillId="0" borderId="0" xfId="0" applyFont="1"/>
    <xf numFmtId="10" fontId="1" fillId="0" borderId="0" xfId="2" applyNumberFormat="1" applyFont="1"/>
    <xf numFmtId="10" fontId="1" fillId="0" borderId="0" xfId="2" applyNumberFormat="1" applyFont="1" applyAlignment="1">
      <alignment horizontal="right"/>
    </xf>
    <xf numFmtId="165" fontId="1" fillId="0" borderId="0" xfId="2" applyNumberFormat="1" applyFont="1" applyAlignment="1">
      <alignment horizontal="right"/>
    </xf>
    <xf numFmtId="170" fontId="0" fillId="0" borderId="0" xfId="1" applyNumberFormat="1" applyFont="1"/>
    <xf numFmtId="0" fontId="10" fillId="0" borderId="0" xfId="0" applyFont="1"/>
    <xf numFmtId="165" fontId="0" fillId="0" borderId="0" xfId="0" applyNumberFormat="1" applyAlignment="1">
      <alignment horizontal="right"/>
    </xf>
    <xf numFmtId="165" fontId="0" fillId="0" borderId="0" xfId="0" applyNumberFormat="1"/>
    <xf numFmtId="0" fontId="11" fillId="0" borderId="0" xfId="0" applyFont="1"/>
    <xf numFmtId="2" fontId="0" fillId="0" borderId="0" xfId="0" applyNumberFormat="1"/>
    <xf numFmtId="171" fontId="0" fillId="0" borderId="0" xfId="0" applyNumberFormat="1"/>
    <xf numFmtId="168" fontId="0" fillId="0" borderId="0" xfId="0" applyNumberFormat="1"/>
    <xf numFmtId="3" fontId="12" fillId="0" borderId="0" xfId="1" applyNumberFormat="1" applyFont="1"/>
    <xf numFmtId="3" fontId="12" fillId="0" borderId="1" xfId="1" applyNumberFormat="1" applyFont="1" applyBorder="1"/>
    <xf numFmtId="0" fontId="12" fillId="0" borderId="0" xfId="0" applyFont="1"/>
    <xf numFmtId="3" fontId="12" fillId="0" borderId="1" xfId="0" applyNumberFormat="1" applyFont="1" applyBorder="1"/>
    <xf numFmtId="3" fontId="13" fillId="0" borderId="0" xfId="1" applyNumberFormat="1" applyFont="1"/>
    <xf numFmtId="3" fontId="13" fillId="0" borderId="0" xfId="0" applyNumberFormat="1" applyFont="1"/>
    <xf numFmtId="3" fontId="0" fillId="0" borderId="0" xfId="2" applyNumberFormat="1" applyFont="1"/>
    <xf numFmtId="3" fontId="12" fillId="0" borderId="0" xfId="0" applyNumberFormat="1" applyFont="1"/>
    <xf numFmtId="9" fontId="12" fillId="0" borderId="0" xfId="0" applyNumberFormat="1" applyFont="1"/>
    <xf numFmtId="0" fontId="0" fillId="0" borderId="0" xfId="0" applyAlignment="1">
      <alignment horizontal="center"/>
    </xf>
    <xf numFmtId="165" fontId="12" fillId="0" borderId="0" xfId="2" applyNumberFormat="1" applyFont="1"/>
    <xf numFmtId="166" fontId="12" fillId="0" borderId="0" xfId="0" applyNumberFormat="1" applyFont="1"/>
    <xf numFmtId="167" fontId="12" fillId="0" borderId="0" xfId="0" applyNumberFormat="1" applyFont="1"/>
    <xf numFmtId="3" fontId="12" fillId="2" borderId="0" xfId="0" applyNumberFormat="1" applyFont="1" applyFill="1" applyAlignment="1">
      <alignment horizontal="right" vertical="center"/>
    </xf>
    <xf numFmtId="165" fontId="12" fillId="0" borderId="0" xfId="0" applyNumberFormat="1" applyFont="1"/>
    <xf numFmtId="0" fontId="0" fillId="0" borderId="0" xfId="0" applyAlignment="1">
      <alignment horizontal="right"/>
    </xf>
    <xf numFmtId="0" fontId="14" fillId="0" borderId="0" xfId="0" applyFont="1"/>
    <xf numFmtId="0" fontId="14" fillId="0" borderId="1" xfId="0" applyFont="1" applyBorder="1"/>
    <xf numFmtId="0" fontId="15" fillId="0" borderId="1" xfId="0" applyFont="1" applyBorder="1"/>
    <xf numFmtId="3" fontId="16" fillId="0" borderId="0" xfId="0" applyNumberFormat="1" applyFont="1"/>
    <xf numFmtId="3" fontId="14" fillId="0" borderId="0" xfId="0" applyNumberFormat="1" applyFont="1"/>
    <xf numFmtId="0" fontId="14" fillId="0" borderId="2" xfId="0" applyFont="1" applyBorder="1"/>
    <xf numFmtId="0" fontId="16" fillId="0" borderId="2" xfId="0" applyFont="1" applyBorder="1"/>
    <xf numFmtId="3" fontId="16" fillId="0" borderId="2" xfId="0" applyNumberFormat="1" applyFont="1" applyBorder="1"/>
    <xf numFmtId="3" fontId="14" fillId="0" borderId="0" xfId="1" applyNumberFormat="1" applyFont="1"/>
    <xf numFmtId="3" fontId="16" fillId="0" borderId="0" xfId="1" applyNumberFormat="1" applyFont="1"/>
    <xf numFmtId="3" fontId="14" fillId="0" borderId="2" xfId="0" applyNumberFormat="1" applyFont="1" applyBorder="1"/>
    <xf numFmtId="3" fontId="17" fillId="0" borderId="0" xfId="1" applyNumberFormat="1" applyFont="1"/>
    <xf numFmtId="2" fontId="14" fillId="0" borderId="0" xfId="0" applyNumberFormat="1" applyFont="1"/>
    <xf numFmtId="172" fontId="14" fillId="0" borderId="0" xfId="1" applyNumberFormat="1" applyFont="1"/>
    <xf numFmtId="0" fontId="14" fillId="0" borderId="0" xfId="0" applyFont="1" applyAlignment="1">
      <alignment horizontal="center"/>
    </xf>
    <xf numFmtId="0" fontId="0" fillId="0" borderId="1" xfId="0" applyBorder="1" applyAlignment="1">
      <alignment horizontal="right"/>
    </xf>
    <xf numFmtId="3" fontId="16" fillId="0" borderId="0" xfId="1" applyNumberFormat="1" applyFont="1" applyBorder="1"/>
    <xf numFmtId="0" fontId="10" fillId="0" borderId="0" xfId="0" applyFont="1" applyAlignment="1">
      <alignment horizontal="right"/>
    </xf>
    <xf numFmtId="165" fontId="0" fillId="0" borderId="1" xfId="2" applyNumberFormat="1" applyFont="1" applyBorder="1"/>
    <xf numFmtId="0" fontId="10" fillId="0" borderId="1" xfId="0" applyFont="1" applyBorder="1" applyAlignment="1">
      <alignment horizontal="right"/>
    </xf>
    <xf numFmtId="165" fontId="0" fillId="0" borderId="1" xfId="0" applyNumberFormat="1" applyBorder="1"/>
    <xf numFmtId="165" fontId="1" fillId="0" borderId="1" xfId="2" applyNumberFormat="1" applyFont="1" applyBorder="1" applyAlignment="1">
      <alignment horizontal="right"/>
    </xf>
    <xf numFmtId="1" fontId="0" fillId="0" borderId="0" xfId="0" applyNumberFormat="1"/>
    <xf numFmtId="165" fontId="18" fillId="0" borderId="0" xfId="2" applyNumberFormat="1" applyFont="1"/>
    <xf numFmtId="165" fontId="18" fillId="0" borderId="0" xfId="0" applyNumberFormat="1" applyFont="1"/>
    <xf numFmtId="1" fontId="18" fillId="0" borderId="0" xfId="2" applyNumberFormat="1" applyFont="1"/>
    <xf numFmtId="173" fontId="0" fillId="0" borderId="0" xfId="1" applyNumberFormat="1" applyFont="1"/>
    <xf numFmtId="4" fontId="0" fillId="0" borderId="0" xfId="0" applyNumberFormat="1"/>
    <xf numFmtId="164" fontId="12" fillId="0" borderId="0" xfId="1" applyNumberFormat="1" applyFont="1"/>
    <xf numFmtId="0" fontId="6" fillId="0" borderId="1" xfId="0" applyFont="1" applyBorder="1"/>
    <xf numFmtId="0" fontId="14" fillId="0" borderId="2" xfId="0" applyFont="1" applyBorder="1" applyAlignment="1">
      <alignment horizontal="center"/>
    </xf>
    <xf numFmtId="165" fontId="13" fillId="0" borderId="0" xfId="2" applyNumberFormat="1" applyFont="1"/>
    <xf numFmtId="0" fontId="2" fillId="0" borderId="0" xfId="0" applyFont="1"/>
    <xf numFmtId="3" fontId="13" fillId="0" borderId="1" xfId="1" applyNumberFormat="1" applyFont="1" applyBorder="1"/>
    <xf numFmtId="164" fontId="13" fillId="0" borderId="0" xfId="0" applyNumberFormat="1" applyFont="1"/>
    <xf numFmtId="3" fontId="0" fillId="0" borderId="0" xfId="1" applyNumberFormat="1" applyFont="1"/>
    <xf numFmtId="3" fontId="13" fillId="0" borderId="1" xfId="0" applyNumberFormat="1" applyFont="1" applyBorder="1"/>
  </cellXfs>
  <cellStyles count="75">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v>Number of Showrooms</c:v>
          </c:tx>
          <c:spPr>
            <a:ln w="28575">
              <a:noFill/>
            </a:ln>
          </c:spPr>
          <c:xVal>
            <c:numRef>
              <c:f>'Exh 1 Stores'!$B$5:$B$17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xVal>
          <c:yVal>
            <c:numRef>
              <c:f>'Exh 1 Stores'!$D$5:$D$17</c:f>
              <c:numCache>
                <c:formatCode>General</c:formatCode>
                <c:ptCount val="13"/>
                <c:pt idx="0">
                  <c:v>1</c:v>
                </c:pt>
                <c:pt idx="1">
                  <c:v>4</c:v>
                </c:pt>
                <c:pt idx="2">
                  <c:v>8</c:v>
                </c:pt>
                <c:pt idx="3">
                  <c:v>13</c:v>
                </c:pt>
                <c:pt idx="4">
                  <c:v>19</c:v>
                </c:pt>
                <c:pt idx="5">
                  <c:v>21</c:v>
                </c:pt>
                <c:pt idx="6">
                  <c:v>22</c:v>
                </c:pt>
                <c:pt idx="7">
                  <c:v>24</c:v>
                </c:pt>
                <c:pt idx="8">
                  <c:v>26</c:v>
                </c:pt>
                <c:pt idx="9">
                  <c:v>29</c:v>
                </c:pt>
                <c:pt idx="10">
                  <c:v>31</c:v>
                </c:pt>
                <c:pt idx="11">
                  <c:v>33</c:v>
                </c:pt>
                <c:pt idx="12">
                  <c:v>35</c:v>
                </c:pt>
              </c:numCache>
            </c:numRef>
          </c:yVal>
          <c:smooth val="0"/>
          <c:extLst>
            <c:ext xmlns:c16="http://schemas.microsoft.com/office/drawing/2014/chart" uri="{C3380CC4-5D6E-409C-BE32-E72D297353CC}">
              <c16:uniqueId val="{00000000-0A24-46E4-87B4-2100AA410064}"/>
            </c:ext>
          </c:extLst>
        </c:ser>
        <c:dLbls>
          <c:showLegendKey val="0"/>
          <c:showVal val="0"/>
          <c:showCatName val="0"/>
          <c:showSerName val="0"/>
          <c:showPercent val="0"/>
          <c:showBubbleSize val="0"/>
        </c:dLbls>
        <c:axId val="637611392"/>
        <c:axId val="637611968"/>
      </c:scatterChart>
      <c:scatterChart>
        <c:scatterStyle val="lineMarker"/>
        <c:varyColors val="0"/>
        <c:ser>
          <c:idx val="2"/>
          <c:order val="1"/>
          <c:tx>
            <c:v>Total Square Feet</c:v>
          </c:tx>
          <c:spPr>
            <a:ln w="28575">
              <a:solidFill>
                <a:srgbClr val="002060"/>
              </a:solidFill>
            </a:ln>
          </c:spPr>
          <c:marker>
            <c:symbol val="none"/>
          </c:marker>
          <c:xVal>
            <c:numRef>
              <c:f>'Exh 1 Stores'!$B$5:$B$17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xVal>
          <c:yVal>
            <c:numRef>
              <c:f>'Exh 1 Stores'!$F$5:$F$17</c:f>
              <c:numCache>
                <c:formatCode>#,##0</c:formatCode>
                <c:ptCount val="13"/>
                <c:pt idx="0">
                  <c:v>17200</c:v>
                </c:pt>
                <c:pt idx="1">
                  <c:v>70000</c:v>
                </c:pt>
                <c:pt idx="2">
                  <c:v>144000</c:v>
                </c:pt>
                <c:pt idx="3">
                  <c:v>249500</c:v>
                </c:pt>
                <c:pt idx="4">
                  <c:v>382100</c:v>
                </c:pt>
                <c:pt idx="5">
                  <c:v>413100</c:v>
                </c:pt>
                <c:pt idx="6">
                  <c:v>427600</c:v>
                </c:pt>
                <c:pt idx="7">
                  <c:v>457000</c:v>
                </c:pt>
                <c:pt idx="8">
                  <c:v>487800</c:v>
                </c:pt>
                <c:pt idx="9">
                  <c:v>536700</c:v>
                </c:pt>
                <c:pt idx="10">
                  <c:v>568700</c:v>
                </c:pt>
                <c:pt idx="11">
                  <c:v>600700</c:v>
                </c:pt>
                <c:pt idx="12">
                  <c:v>630700</c:v>
                </c:pt>
              </c:numCache>
            </c:numRef>
          </c:yVal>
          <c:smooth val="0"/>
          <c:extLst>
            <c:ext xmlns:c16="http://schemas.microsoft.com/office/drawing/2014/chart" uri="{C3380CC4-5D6E-409C-BE32-E72D297353CC}">
              <c16:uniqueId val="{00000001-0A24-46E4-87B4-2100AA410064}"/>
            </c:ext>
          </c:extLst>
        </c:ser>
        <c:dLbls>
          <c:showLegendKey val="0"/>
          <c:showVal val="0"/>
          <c:showCatName val="0"/>
          <c:showSerName val="0"/>
          <c:showPercent val="0"/>
          <c:showBubbleSize val="0"/>
        </c:dLbls>
        <c:axId val="637615424"/>
        <c:axId val="637614848"/>
      </c:scatterChart>
      <c:valAx>
        <c:axId val="637611392"/>
        <c:scaling>
          <c:orientation val="minMax"/>
          <c:max val="2015"/>
          <c:min val="2003"/>
        </c:scaling>
        <c:delete val="0"/>
        <c:axPos val="b"/>
        <c:numFmt formatCode="General" sourceLinked="1"/>
        <c:majorTickMark val="out"/>
        <c:minorTickMark val="none"/>
        <c:tickLblPos val="nextTo"/>
        <c:crossAx val="637611968"/>
        <c:crosses val="autoZero"/>
        <c:crossBetween val="midCat"/>
      </c:valAx>
      <c:valAx>
        <c:axId val="637611968"/>
        <c:scaling>
          <c:orientation val="minMax"/>
        </c:scaling>
        <c:delete val="0"/>
        <c:axPos val="l"/>
        <c:majorGridlines/>
        <c:numFmt formatCode="General" sourceLinked="1"/>
        <c:majorTickMark val="out"/>
        <c:minorTickMark val="none"/>
        <c:tickLblPos val="nextTo"/>
        <c:crossAx val="637611392"/>
        <c:crosses val="autoZero"/>
        <c:crossBetween val="midCat"/>
      </c:valAx>
      <c:valAx>
        <c:axId val="637614848"/>
        <c:scaling>
          <c:orientation val="minMax"/>
        </c:scaling>
        <c:delete val="0"/>
        <c:axPos val="r"/>
        <c:numFmt formatCode="#,##0" sourceLinked="0"/>
        <c:majorTickMark val="out"/>
        <c:minorTickMark val="none"/>
        <c:tickLblPos val="nextTo"/>
        <c:crossAx val="637615424"/>
        <c:crosses val="max"/>
        <c:crossBetween val="midCat"/>
      </c:valAx>
      <c:valAx>
        <c:axId val="637615424"/>
        <c:scaling>
          <c:orientation val="minMax"/>
        </c:scaling>
        <c:delete val="1"/>
        <c:axPos val="b"/>
        <c:numFmt formatCode="General" sourceLinked="1"/>
        <c:majorTickMark val="out"/>
        <c:minorTickMark val="none"/>
        <c:tickLblPos val="nextTo"/>
        <c:crossAx val="637614848"/>
        <c:crosses val="autoZero"/>
        <c:crossBetween val="midCat"/>
      </c:valAx>
    </c:plotArea>
    <c:legend>
      <c:legendPos val="b"/>
      <c:overlay val="0"/>
      <c:spPr>
        <a:ln>
          <a:noFill/>
        </a:ln>
      </c:sp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3"/>
          <c:order val="0"/>
          <c:tx>
            <c:v>GDP Growth</c:v>
          </c:tx>
          <c:spPr>
            <a:ln w="28575">
              <a:solidFill>
                <a:srgbClr val="FF0000"/>
              </a:solidFill>
            </a:ln>
          </c:spPr>
          <c:marker>
            <c:symbol val="diamond"/>
            <c:size val="7"/>
            <c:spPr>
              <a:solidFill>
                <a:srgbClr val="FF0000"/>
              </a:solidFill>
              <a:ln>
                <a:solidFill>
                  <a:srgbClr val="FF0000"/>
                </a:solidFill>
              </a:ln>
            </c:spPr>
          </c:marker>
          <c:xVal>
            <c:numRef>
              <c:f>'Exh 2 Econ Indicators'!$C$2:$R$2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'Exh 2 Econ Indicators'!$C$6:$R$6</c:f>
              <c:numCache>
                <c:formatCode>0.0%</c:formatCode>
                <c:ptCount val="16"/>
                <c:pt idx="0">
                  <c:v>4.6975277900453971E-2</c:v>
                </c:pt>
                <c:pt idx="1">
                  <c:v>6.3813556089560075E-2</c:v>
                </c:pt>
                <c:pt idx="2">
                  <c:v>6.4935777107544501E-2</c:v>
                </c:pt>
                <c:pt idx="3">
                  <c:v>5.9752276607290655E-2</c:v>
                </c:pt>
                <c:pt idx="4">
                  <c:v>4.870040068175685E-2</c:v>
                </c:pt>
                <c:pt idx="5">
                  <c:v>1.8738405444562733E-2</c:v>
                </c:pt>
                <c:pt idx="6">
                  <c:v>-2.2243913361391865E-2</c:v>
                </c:pt>
                <c:pt idx="7">
                  <c:v>3.7590393347479045E-2</c:v>
                </c:pt>
                <c:pt idx="8">
                  <c:v>3.9778811187725971E-2</c:v>
                </c:pt>
                <c:pt idx="9">
                  <c:v>4.0401176066743316E-2</c:v>
                </c:pt>
                <c:pt idx="10">
                  <c:v>3.5256921532061281E-2</c:v>
                </c:pt>
                <c:pt idx="11">
                  <c:v>4.996266107377223E-2</c:v>
                </c:pt>
                <c:pt idx="12">
                  <c:v>5.6493429214464985E-2</c:v>
                </c:pt>
                <c:pt idx="13">
                  <c:v>5.5980104579205436E-2</c:v>
                </c:pt>
                <c:pt idx="14">
                  <c:v>5.5592571155693049E-2</c:v>
                </c:pt>
                <c:pt idx="15">
                  <c:v>5.0974434189059892E-2</c:v>
                </c:pt>
              </c:numCache>
            </c:numRef>
          </c:yVal>
          <c:smooth val="0"/>
          <c:extLst>
            <c:ext xmlns:c16="http://schemas.microsoft.com/office/drawing/2014/chart" uri="{C3380CC4-5D6E-409C-BE32-E72D297353CC}">
              <c16:uniqueId val="{00000000-6194-4B28-BA86-04B7E794FEFD}"/>
            </c:ext>
          </c:extLst>
        </c:ser>
        <c:ser>
          <c:idx val="9"/>
          <c:order val="1"/>
          <c:tx>
            <c:v>Furniture Sales Growth</c:v>
          </c:tx>
          <c:spPr>
            <a:ln w="28575">
              <a:solidFill>
                <a:srgbClr val="002060"/>
              </a:solidFill>
            </a:ln>
          </c:spPr>
          <c:marker>
            <c:symbol val="none"/>
          </c:marker>
          <c:xVal>
            <c:numRef>
              <c:f>'Exh 2 Econ Indicators'!$C$2:$R$2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'Exh 2 Econ Indicators'!$C$8:$R$8</c:f>
              <c:numCache>
                <c:formatCode>0.0%</c:formatCode>
                <c:ptCount val="16"/>
                <c:pt idx="0">
                  <c:v>2.4354087251164724E-2</c:v>
                </c:pt>
                <c:pt idx="1">
                  <c:v>7.2565639859416997E-2</c:v>
                </c:pt>
                <c:pt idx="2">
                  <c:v>5.1657671549730111E-2</c:v>
                </c:pt>
                <c:pt idx="3">
                  <c:v>3.3724340175953049E-2</c:v>
                </c:pt>
                <c:pt idx="4">
                  <c:v>-1.4716312056737513E-2</c:v>
                </c:pt>
                <c:pt idx="5">
                  <c:v>-0.10419290984344065</c:v>
                </c:pt>
                <c:pt idx="6">
                  <c:v>-0.13358778625954193</c:v>
                </c:pt>
                <c:pt idx="7">
                  <c:v>1.1940644562949299E-2</c:v>
                </c:pt>
                <c:pt idx="8">
                  <c:v>3.1847863443693392E-2</c:v>
                </c:pt>
                <c:pt idx="9">
                  <c:v>3.4000000000000002E-2</c:v>
                </c:pt>
                <c:pt idx="10">
                  <c:v>0.03</c:v>
                </c:pt>
                <c:pt idx="11">
                  <c:v>2.8000000000000001E-2</c:v>
                </c:pt>
                <c:pt idx="12">
                  <c:v>2.5999999999999999E-2</c:v>
                </c:pt>
                <c:pt idx="13">
                  <c:v>2.4E-2</c:v>
                </c:pt>
                <c:pt idx="14">
                  <c:v>2.1999999999999999E-2</c:v>
                </c:pt>
                <c:pt idx="15">
                  <c:v>0.02</c:v>
                </c:pt>
              </c:numCache>
            </c:numRef>
          </c:yVal>
          <c:smooth val="0"/>
          <c:extLst>
            <c:ext xmlns:c16="http://schemas.microsoft.com/office/drawing/2014/chart" uri="{C3380CC4-5D6E-409C-BE32-E72D297353CC}">
              <c16:uniqueId val="{00000001-6194-4B28-BA86-04B7E794FEFD}"/>
            </c:ext>
          </c:extLst>
        </c:ser>
        <c:ser>
          <c:idx val="1"/>
          <c:order val="2"/>
          <c:tx>
            <c:v>Inflation (CPI)</c:v>
          </c:tx>
          <c:spPr>
            <a:ln w="28575">
              <a:noFill/>
            </a:ln>
          </c:spPr>
          <c:marker>
            <c:symbol val="square"/>
            <c:size val="5"/>
            <c:spPr>
              <a:solidFill>
                <a:srgbClr val="00B050"/>
              </a:solidFill>
              <a:ln>
                <a:solidFill>
                  <a:srgbClr val="00B050"/>
                </a:solidFill>
              </a:ln>
            </c:spPr>
          </c:marker>
          <c:xVal>
            <c:numRef>
              <c:f>'Exh 2 Econ Indicators'!$C$2:$R$2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'Exh 2 Econ Indicators'!$C$4:$R$4</c:f>
              <c:numCache>
                <c:formatCode>0.0%</c:formatCode>
                <c:ptCount val="16"/>
                <c:pt idx="0">
                  <c:v>1.8794914317302513E-2</c:v>
                </c:pt>
                <c:pt idx="1">
                  <c:v>3.255561584373301E-2</c:v>
                </c:pt>
                <c:pt idx="2">
                  <c:v>3.4156594850236477E-2</c:v>
                </c:pt>
                <c:pt idx="3">
                  <c:v>2.5406504065040636E-2</c:v>
                </c:pt>
                <c:pt idx="4">
                  <c:v>4.0812685827551931E-2</c:v>
                </c:pt>
                <c:pt idx="5">
                  <c:v>9.1412900645604367E-4</c:v>
                </c:pt>
                <c:pt idx="6">
                  <c:v>2.7213311262058282E-2</c:v>
                </c:pt>
                <c:pt idx="7">
                  <c:v>1.4957235273143077E-2</c:v>
                </c:pt>
                <c:pt idx="8">
                  <c:v>2.9624188448710953E-2</c:v>
                </c:pt>
                <c:pt idx="9">
                  <c:v>1.7410223687475579E-2</c:v>
                </c:pt>
                <c:pt idx="10">
                  <c:v>1.6799999999999999E-2</c:v>
                </c:pt>
                <c:pt idx="11">
                  <c:v>1.8100000000000002E-2</c:v>
                </c:pt>
                <c:pt idx="12">
                  <c:v>1.9400000000000001E-2</c:v>
                </c:pt>
                <c:pt idx="13">
                  <c:v>2.1100000000000001E-2</c:v>
                </c:pt>
                <c:pt idx="14">
                  <c:v>1.9E-2</c:v>
                </c:pt>
                <c:pt idx="15">
                  <c:v>1.7999999999999999E-2</c:v>
                </c:pt>
              </c:numCache>
            </c:numRef>
          </c:yVal>
          <c:smooth val="0"/>
          <c:extLst>
            <c:ext xmlns:c16="http://schemas.microsoft.com/office/drawing/2014/chart" uri="{C3380CC4-5D6E-409C-BE32-E72D297353CC}">
              <c16:uniqueId val="{00000002-6194-4B28-BA86-04B7E794FEFD}"/>
            </c:ext>
          </c:extLst>
        </c:ser>
        <c:dLbls>
          <c:showLegendKey val="0"/>
          <c:showVal val="0"/>
          <c:showCatName val="0"/>
          <c:showSerName val="0"/>
          <c:showPercent val="0"/>
          <c:showBubbleSize val="0"/>
        </c:dLbls>
        <c:axId val="583492736"/>
        <c:axId val="583493312"/>
      </c:scatterChart>
      <c:valAx>
        <c:axId val="583492736"/>
        <c:scaling>
          <c:orientation val="minMax"/>
          <c:max val="2018"/>
          <c:min val="2003"/>
        </c:scaling>
        <c:delete val="0"/>
        <c:axPos val="b"/>
        <c:numFmt formatCode="General" sourceLinked="1"/>
        <c:majorTickMark val="out"/>
        <c:minorTickMark val="none"/>
        <c:tickLblPos val="nextTo"/>
        <c:crossAx val="583493312"/>
        <c:crosses val="autoZero"/>
        <c:crossBetween val="midCat"/>
      </c:valAx>
      <c:valAx>
        <c:axId val="583493312"/>
        <c:scaling>
          <c:orientation val="minMax"/>
        </c:scaling>
        <c:delete val="0"/>
        <c:axPos val="l"/>
        <c:majorGridlines/>
        <c:numFmt formatCode="0.0%" sourceLinked="1"/>
        <c:majorTickMark val="out"/>
        <c:minorTickMark val="none"/>
        <c:tickLblPos val="nextTo"/>
        <c:crossAx val="583492736"/>
        <c:crosses val="autoZero"/>
        <c:crossBetween val="midCat"/>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514350</xdr:colOff>
      <xdr:row>1</xdr:row>
      <xdr:rowOff>152400</xdr:rowOff>
    </xdr:from>
    <xdr:to>
      <xdr:col>9</xdr:col>
      <xdr:colOff>9525</xdr:colOff>
      <xdr:row>19</xdr:row>
      <xdr:rowOff>47625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14350" y="342900"/>
          <a:ext cx="4981575" cy="3324225"/>
        </a:xfrm>
        <a:prstGeom prst="rect">
          <a:avLst/>
        </a:prstGeom>
        <a:solidFill>
          <a:srgbClr val="FFFFFF"/>
        </a:solidFill>
        <a:ln w="9525">
          <a:solidFill>
            <a:srgbClr val="000000"/>
          </a:solidFill>
          <a:miter lim="800000"/>
          <a:headEnd/>
          <a:tailEnd/>
        </a:ln>
      </xdr:spPr>
      <xdr:txBody>
        <a:bodyPr vertOverflow="clip" wrap="square" lIns="91440" tIns="91440" rIns="91440" bIns="9144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r>
            <a:rPr lang="en-US" sz="1000" b="0" i="0" u="none" strike="noStrike" baseline="0">
              <a:solidFill>
                <a:srgbClr val="000000"/>
              </a:solidFill>
              <a:latin typeface="Arial"/>
              <a:cs typeface="Arial"/>
            </a:rPr>
            <a:t>These spreadsheet exhibits relate to the case </a:t>
          </a:r>
          <a:r>
            <a:rPr lang="en-US" sz="1000" b="0" i="1">
              <a:effectLst/>
              <a:latin typeface="Arial" panose="020B0604020202020204" pitchFamily="34" charset="0"/>
              <a:ea typeface="+mn-ea"/>
              <a:cs typeface="Arial" panose="020B0604020202020204" pitchFamily="34" charset="0"/>
            </a:rPr>
            <a:t>Teuer Furniture (A): Discounted Cash Flow Valuation</a:t>
          </a:r>
          <a:r>
            <a:rPr lang="en-US" sz="1000" b="0" i="0">
              <a:effectLst/>
              <a:latin typeface="Arial" panose="020B0604020202020204" pitchFamily="34" charset="0"/>
              <a:ea typeface="+mn-ea"/>
              <a:cs typeface="Arial" panose="020B0604020202020204" pitchFamily="34" charset="0"/>
            </a:rPr>
            <a:t>,</a:t>
          </a:r>
          <a:r>
            <a:rPr lang="en-US" sz="1000" b="0" i="0" u="none" strike="noStrike" baseline="0">
              <a:solidFill>
                <a:srgbClr val="000000"/>
              </a:solidFill>
              <a:latin typeface="Arial"/>
              <a:cs typeface="Arial"/>
            </a:rPr>
            <a:t> Case #KEL778.</a:t>
          </a:r>
        </a:p>
        <a:p>
          <a:pPr algn="l" rtl="0">
            <a:defRPr sz="1000"/>
          </a:pPr>
          <a:endParaRPr lang="en-US" sz="1000" b="0" i="0" u="none" strike="noStrike" baseline="0">
            <a:solidFill>
              <a:srgbClr val="000000"/>
            </a:solidFill>
            <a:latin typeface="Arial"/>
            <a:cs typeface="Arial"/>
          </a:endParaRPr>
        </a:p>
        <a:p>
          <a:r>
            <a:rPr lang="en-US" sz="1000" u="none">
              <a:effectLst/>
              <a:latin typeface="Arial" panose="020B0604020202020204" pitchFamily="34" charset="0"/>
              <a:ea typeface="+mn-ea"/>
              <a:cs typeface="Arial" panose="020B0604020202020204" pitchFamily="34" charset="0"/>
            </a:rPr>
            <a:t>©2015 by the Kellogg School of Management at Northwestern University. This case was prepared by Professor Mitchell A. Petersen. Teuer Furniture is a fictional company whose profile was created based on data from real industry leaders. Cases are developed solely as the basis for class discussion. Cases are not intended to serve as endorsements, sources of primary data, or illustrations of effective or ineffective management. To order copies or request permission to reproduce materials, call 800-545-7685 (or 617-783-7600 outside the United States or Canada) or e-mail custserv@hbsp.harvard.edu. No part of this publication may be reproduced, stored in a retrieval system, used in a spreadsheet, or transmitted in any form or by any means—electronic, mechanical, photocopying, recording, or otherwise—without the permission of Kellogg Case Publishing.</a:t>
          </a:r>
        </a:p>
      </xdr:txBody>
    </xdr:sp>
    <xdr:clientData/>
  </xdr:twoCellAnchor>
  <xdr:twoCellAnchor editAs="oneCell">
    <xdr:from>
      <xdr:col>0</xdr:col>
      <xdr:colOff>552450</xdr:colOff>
      <xdr:row>2</xdr:row>
      <xdr:rowOff>28575</xdr:rowOff>
    </xdr:from>
    <xdr:to>
      <xdr:col>5</xdr:col>
      <xdr:colOff>276225</xdr:colOff>
      <xdr:row>6</xdr:row>
      <xdr:rowOff>38100</xdr:rowOff>
    </xdr:to>
    <xdr:pic>
      <xdr:nvPicPr>
        <xdr:cNvPr id="3" name="Picture 2" descr="Kellogg_logo_01_300dpi_b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409575"/>
          <a:ext cx="27717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314325</xdr:colOff>
      <xdr:row>4</xdr:row>
      <xdr:rowOff>23812</xdr:rowOff>
    </xdr:from>
    <xdr:to>
      <xdr:col>15</xdr:col>
      <xdr:colOff>9525</xdr:colOff>
      <xdr:row>18</xdr:row>
      <xdr:rowOff>100012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9</xdr:row>
      <xdr:rowOff>109537</xdr:rowOff>
    </xdr:from>
    <xdr:to>
      <xdr:col>12</xdr:col>
      <xdr:colOff>352425</xdr:colOff>
      <xdr:row>29</xdr:row>
      <xdr:rowOff>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69"/>
  <sheetViews>
    <sheetView zoomScaleNormal="100" workbookViewId="0">
      <pane xSplit="2" ySplit="2" topLeftCell="C51" activePane="bottomRight" state="frozen"/>
      <selection pane="topRight"/>
      <selection pane="bottomLeft"/>
      <selection pane="bottomRight" activeCell="C23" sqref="C23"/>
    </sheetView>
  </sheetViews>
  <sheetFormatPr defaultColWidth="8.77734375" defaultRowHeight="14.4" x14ac:dyDescent="0.3"/>
  <cols>
    <col min="1" max="1" width="19.77734375" customWidth="1"/>
    <col min="2" max="2" width="7.77734375" customWidth="1"/>
    <col min="3" max="11" width="8.77734375" customWidth="1"/>
  </cols>
  <sheetData>
    <row r="1" spans="1:12" s="10" customFormat="1" ht="18" x14ac:dyDescent="0.35">
      <c r="A1" s="10" t="s">
        <v>57</v>
      </c>
    </row>
    <row r="2" spans="1:12" x14ac:dyDescent="0.3">
      <c r="B2" s="47" t="s">
        <v>21</v>
      </c>
      <c r="C2">
        <v>1</v>
      </c>
      <c r="D2">
        <v>2</v>
      </c>
      <c r="E2">
        <v>3</v>
      </c>
      <c r="F2">
        <v>4</v>
      </c>
      <c r="G2">
        <v>5</v>
      </c>
      <c r="H2">
        <v>6</v>
      </c>
      <c r="I2">
        <v>7</v>
      </c>
      <c r="J2">
        <v>8</v>
      </c>
      <c r="K2">
        <v>9</v>
      </c>
    </row>
    <row r="3" spans="1:12" x14ac:dyDescent="0.3">
      <c r="A3" t="s">
        <v>10</v>
      </c>
      <c r="B3" s="65">
        <v>2003</v>
      </c>
      <c r="C3" s="6">
        <f>'Exh 6 Stores BS'!F5/'Exh 5 Stores IS'!F4</f>
        <v>0.3651835643082908</v>
      </c>
      <c r="D3" s="6">
        <f>'Exh 6 Stores BS'!G5/'Exh 5 Stores IS'!G4</f>
        <v>0.31622402770378266</v>
      </c>
      <c r="E3" s="6">
        <f>'Exh 6 Stores BS'!H5/'Exh 5 Stores IS'!H4</f>
        <v>0.3187506461185029</v>
      </c>
      <c r="F3" s="6">
        <f>'Exh 6 Stores BS'!I5/'Exh 5 Stores IS'!I4</f>
        <v>0.32127100310675194</v>
      </c>
      <c r="G3" s="6">
        <f>'Exh 6 Stores BS'!J5/'Exh 5 Stores IS'!J4</f>
        <v>0.32168269988960729</v>
      </c>
      <c r="H3" s="6">
        <f>'Exh 6 Stores BS'!K5/'Exh 5 Stores IS'!K4</f>
        <v>0.309000545157187</v>
      </c>
      <c r="I3" s="6">
        <f>'Exh 6 Stores BS'!L5/'Exh 5 Stores IS'!L4</f>
        <v>0.30971892467394196</v>
      </c>
      <c r="J3" s="6">
        <f>'Exh 6 Stores BS'!M5/'Exh 5 Stores IS'!M4</f>
        <v>0.29671265542497022</v>
      </c>
      <c r="K3" s="6">
        <f>'Exh 6 Stores BS'!N5/'Exh 5 Stores IS'!N4</f>
        <v>0.31525323168710639</v>
      </c>
    </row>
    <row r="4" spans="1:12" x14ac:dyDescent="0.3">
      <c r="B4" s="65">
        <v>2004</v>
      </c>
      <c r="C4" s="6">
        <f>'Exh 6 Stores BS'!G12/'Exh 5 Stores IS'!G11</f>
        <v>0.34402972526647646</v>
      </c>
      <c r="D4" s="6">
        <f>'Exh 6 Stores BS'!H12/'Exh 5 Stores IS'!H11</f>
        <v>0.32498127215009154</v>
      </c>
      <c r="E4" s="6">
        <f>'Exh 6 Stores BS'!I12/'Exh 5 Stores IS'!I11</f>
        <v>0.33177717082953989</v>
      </c>
      <c r="F4" s="6">
        <f>'Exh 6 Stores BS'!J12/'Exh 5 Stores IS'!J11</f>
        <v>0.33514965883244879</v>
      </c>
      <c r="G4" s="6">
        <f>'Exh 6 Stores BS'!K12/'Exh 5 Stores IS'!K11</f>
        <v>0.3416152172787072</v>
      </c>
      <c r="H4" s="6">
        <f>'Exh 6 Stores BS'!L12/'Exh 5 Stores IS'!L11</f>
        <v>0.34588479857666193</v>
      </c>
      <c r="I4" s="6">
        <f>'Exh 6 Stores BS'!M12/'Exh 5 Stores IS'!M11</f>
        <v>0.32476193507688567</v>
      </c>
      <c r="J4" s="6">
        <f>'Exh 6 Stores BS'!N12/'Exh 5 Stores IS'!N11</f>
        <v>0.31851397711055768</v>
      </c>
      <c r="K4" s="6"/>
    </row>
    <row r="5" spans="1:12" x14ac:dyDescent="0.3">
      <c r="B5" s="65">
        <v>2005</v>
      </c>
      <c r="C5" s="6">
        <f>'Exh 6 Stores BS'!H19/'Exh 5 Stores IS'!H18</f>
        <v>0.32814581439334567</v>
      </c>
      <c r="D5" s="6">
        <f>'Exh 6 Stores BS'!I19/'Exh 5 Stores IS'!I18</f>
        <v>0.3308111224551078</v>
      </c>
      <c r="E5" s="6">
        <f>'Exh 6 Stores BS'!J19/'Exh 5 Stores IS'!J18</f>
        <v>0.31823801749801622</v>
      </c>
      <c r="F5" s="6">
        <f>'Exh 6 Stores BS'!K19/'Exh 5 Stores IS'!K18</f>
        <v>0.29740269968401861</v>
      </c>
      <c r="G5" s="6">
        <f>'Exh 6 Stores BS'!L19/'Exh 5 Stores IS'!L18</f>
        <v>0.31291985818707052</v>
      </c>
      <c r="H5" s="6">
        <f>'Exh 6 Stores BS'!M19/'Exh 5 Stores IS'!M18</f>
        <v>0.31699458915622736</v>
      </c>
      <c r="I5" s="6">
        <f>'Exh 6 Stores BS'!N19/'Exh 5 Stores IS'!N18</f>
        <v>0.32448276284317162</v>
      </c>
    </row>
    <row r="6" spans="1:12" x14ac:dyDescent="0.3">
      <c r="B6" s="65">
        <v>2006</v>
      </c>
      <c r="C6" s="6">
        <f>'Exh 6 Stores BS'!I26/'Exh 5 Stores IS'!I25</f>
        <v>0.32638111154466282</v>
      </c>
      <c r="D6" s="6">
        <f>'Exh 6 Stores BS'!J26/'Exh 5 Stores IS'!J25</f>
        <v>0.31182598618862928</v>
      </c>
      <c r="E6" s="6">
        <f>'Exh 6 Stores BS'!K26/'Exh 5 Stores IS'!K25</f>
        <v>0.33799562570997438</v>
      </c>
      <c r="F6" s="6">
        <f>'Exh 6 Stores BS'!L26/'Exh 5 Stores IS'!L25</f>
        <v>0.33802009299068408</v>
      </c>
      <c r="G6" s="6">
        <f>'Exh 6 Stores BS'!M26/'Exh 5 Stores IS'!M25</f>
        <v>0.3198309353678167</v>
      </c>
      <c r="H6" s="6">
        <f>'Exh 6 Stores BS'!N26/'Exh 5 Stores IS'!N25</f>
        <v>0.33773960487020444</v>
      </c>
      <c r="I6" s="6"/>
    </row>
    <row r="7" spans="1:12" x14ac:dyDescent="0.3">
      <c r="B7" s="65">
        <v>2007</v>
      </c>
      <c r="C7" s="6">
        <f>'Exh 6 Stores BS'!J33/'Exh 5 Stores IS'!J32</f>
        <v>0.31209958925586639</v>
      </c>
      <c r="D7" s="6">
        <f>'Exh 6 Stores BS'!K33/'Exh 5 Stores IS'!K32</f>
        <v>0.31040057270124083</v>
      </c>
      <c r="E7" s="6">
        <f>'Exh 6 Stores BS'!L33/'Exh 5 Stores IS'!L32</f>
        <v>0.32329535644770052</v>
      </c>
      <c r="F7" s="6">
        <f>'Exh 6 Stores BS'!M33/'Exh 5 Stores IS'!M32</f>
        <v>0.31292004178842342</v>
      </c>
      <c r="G7" s="6">
        <f>'Exh 6 Stores BS'!N33/'Exh 5 Stores IS'!N32</f>
        <v>0.3196885464275051</v>
      </c>
      <c r="H7" s="6"/>
      <c r="I7" s="6"/>
    </row>
    <row r="8" spans="1:12" x14ac:dyDescent="0.3">
      <c r="B8" s="65">
        <v>2008</v>
      </c>
      <c r="C8" s="6">
        <f>'Exh 6 Stores BS'!K40/'Exh 5 Stores IS'!K39</f>
        <v>0.32890213673872798</v>
      </c>
      <c r="D8" s="6">
        <f>'Exh 6 Stores BS'!L40/'Exh 5 Stores IS'!L39</f>
        <v>0.33965552550231842</v>
      </c>
      <c r="E8" s="6">
        <f>'Exh 6 Stores BS'!M40/'Exh 5 Stores IS'!M39</f>
        <v>0.30539197415828051</v>
      </c>
      <c r="F8" s="6">
        <f>'Exh 6 Stores BS'!N40/'Exh 5 Stores IS'!N39</f>
        <v>0.31384705958605191</v>
      </c>
      <c r="G8" s="6"/>
      <c r="H8" s="6"/>
      <c r="I8" s="6"/>
    </row>
    <row r="9" spans="1:12" x14ac:dyDescent="0.3">
      <c r="B9" s="65">
        <v>2009</v>
      </c>
      <c r="C9" s="6">
        <f>'Exh 6 Stores BS'!L47/'Exh 5 Stores IS'!L46</f>
        <v>0.33684291081118684</v>
      </c>
      <c r="D9" s="6">
        <f>'Exh 6 Stores BS'!M47/'Exh 5 Stores IS'!M46</f>
        <v>0.33512763241863436</v>
      </c>
      <c r="E9" s="6">
        <f>'Exh 6 Stores BS'!N47/'Exh 5 Stores IS'!N46</f>
        <v>0.33631366345583463</v>
      </c>
      <c r="F9" s="6"/>
      <c r="G9" s="6"/>
      <c r="H9" s="6"/>
      <c r="I9" s="6"/>
    </row>
    <row r="10" spans="1:12" x14ac:dyDescent="0.3">
      <c r="B10" s="65">
        <v>2010</v>
      </c>
      <c r="C10" s="6">
        <f>'Exh 6 Stores BS'!M54/'Exh 5 Stores IS'!M53</f>
        <v>0.31791235828041359</v>
      </c>
      <c r="D10" s="6">
        <f>'Exh 6 Stores BS'!N54/'Exh 5 Stores IS'!N53</f>
        <v>0.33717207547169809</v>
      </c>
      <c r="E10" s="6"/>
      <c r="F10" s="6"/>
      <c r="G10" s="6"/>
      <c r="H10" s="6"/>
      <c r="I10" s="6"/>
    </row>
    <row r="11" spans="1:12" x14ac:dyDescent="0.3">
      <c r="B11" s="67">
        <v>2011</v>
      </c>
      <c r="C11" s="66">
        <f>'Exh 6 Stores BS'!N61/'Exh 5 Stores IS'!N60</f>
        <v>0.32584250231088052</v>
      </c>
      <c r="D11" s="6"/>
      <c r="E11" s="6"/>
      <c r="F11" s="6"/>
      <c r="G11" s="6"/>
      <c r="H11" s="6"/>
      <c r="I11" s="6"/>
    </row>
    <row r="12" spans="1:12" x14ac:dyDescent="0.3">
      <c r="B12" s="47" t="s">
        <v>3</v>
      </c>
      <c r="C12" s="27">
        <f>AVERAGE(C3:K11)</f>
        <v>0.32437136043189346</v>
      </c>
      <c r="D12" s="27"/>
      <c r="E12" s="1"/>
      <c r="F12" s="1"/>
      <c r="G12" s="27"/>
      <c r="H12" s="14"/>
      <c r="I12" s="27"/>
    </row>
    <row r="13" spans="1:12" x14ac:dyDescent="0.3">
      <c r="B13" s="47"/>
      <c r="C13" s="6"/>
      <c r="D13" s="6"/>
      <c r="E13" s="6"/>
      <c r="F13" s="6"/>
      <c r="G13" s="6"/>
      <c r="H13" s="6"/>
      <c r="I13" s="6"/>
    </row>
    <row r="14" spans="1:12" x14ac:dyDescent="0.3">
      <c r="B14" s="63" t="s">
        <v>21</v>
      </c>
      <c r="C14" s="4">
        <v>1</v>
      </c>
      <c r="D14" s="4">
        <v>2</v>
      </c>
      <c r="E14" s="4">
        <v>3</v>
      </c>
      <c r="F14" s="4">
        <v>4</v>
      </c>
      <c r="G14" s="4">
        <v>5</v>
      </c>
      <c r="H14" s="4">
        <v>6</v>
      </c>
      <c r="I14" s="4">
        <v>7</v>
      </c>
      <c r="J14" s="4">
        <v>8</v>
      </c>
      <c r="K14" s="4">
        <v>9</v>
      </c>
    </row>
    <row r="15" spans="1:12" x14ac:dyDescent="0.3">
      <c r="A15" t="s">
        <v>11</v>
      </c>
      <c r="B15" s="65">
        <v>2003</v>
      </c>
      <c r="C15" s="6">
        <f>'Exh 6 Stores BS'!E$6/'Exh 5 Stores IS'!F$5</f>
        <v>0.45856996377059261</v>
      </c>
      <c r="D15" s="6">
        <f>'Exh 6 Stores BS'!F$6/'Exh 5 Stores IS'!G$5</f>
        <v>0.4721720299709819</v>
      </c>
      <c r="E15" s="6">
        <f>'Exh 6 Stores BS'!G$6/'Exh 5 Stores IS'!H$5</f>
        <v>0.44049001093330681</v>
      </c>
      <c r="F15" s="6">
        <f>'Exh 6 Stores BS'!H$6/'Exh 5 Stores IS'!I$5</f>
        <v>0.50387909425133692</v>
      </c>
      <c r="G15" s="6">
        <f>'Exh 6 Stores BS'!I$6/'Exh 5 Stores IS'!J$5</f>
        <v>0.42369157011586095</v>
      </c>
      <c r="H15" s="6">
        <f>'Exh 6 Stores BS'!J$6/'Exh 5 Stores IS'!K$5</f>
        <v>0.42390792661820703</v>
      </c>
      <c r="I15" s="6">
        <f>'Exh 6 Stores BS'!K$6/'Exh 5 Stores IS'!L$5</f>
        <v>0.44317670115309243</v>
      </c>
      <c r="J15" s="6">
        <f>'Exh 6 Stores BS'!L$6/'Exh 5 Stores IS'!M$5</f>
        <v>0.50332883658184868</v>
      </c>
      <c r="K15" s="6">
        <f>'Exh 6 Stores BS'!M$6/'Exh 5 Stores IS'!N$5</f>
        <v>0.42513410596026491</v>
      </c>
      <c r="L15" s="20"/>
    </row>
    <row r="16" spans="1:12" x14ac:dyDescent="0.3">
      <c r="B16" s="65">
        <v>2004</v>
      </c>
      <c r="C16" s="6">
        <f>'Exh 6 Stores BS'!F$13/'Exh 5 Stores IS'!G$12</f>
        <v>0.43411243102068331</v>
      </c>
      <c r="D16" s="6">
        <f>'Exh 6 Stores BS'!G$13/'Exh 5 Stores IS'!H$12</f>
        <v>0.48335635526475224</v>
      </c>
      <c r="E16" s="6">
        <f>'Exh 6 Stores BS'!H$13/'Exh 5 Stores IS'!I$12</f>
        <v>0.54520199652887746</v>
      </c>
      <c r="F16" s="6">
        <f>'Exh 6 Stores BS'!I$13/'Exh 5 Stores IS'!J$12</f>
        <v>0.46445477599323753</v>
      </c>
      <c r="G16" s="6">
        <f>'Exh 6 Stores BS'!J$13/'Exh 5 Stores IS'!K$12</f>
        <v>0.47269904168186488</v>
      </c>
      <c r="H16" s="6">
        <f>'Exh 6 Stores BS'!K$13/'Exh 5 Stores IS'!L$12</f>
        <v>0.45572164794007491</v>
      </c>
      <c r="I16" s="6">
        <f>'Exh 6 Stores BS'!L$13/'Exh 5 Stores IS'!M$12</f>
        <v>0.48534934465185098</v>
      </c>
      <c r="J16" s="6">
        <f>'Exh 6 Stores BS'!M$13/'Exh 5 Stores IS'!N$12</f>
        <v>0.47341922267590131</v>
      </c>
      <c r="K16" s="6"/>
    </row>
    <row r="17" spans="1:12" x14ac:dyDescent="0.3">
      <c r="B17" s="65">
        <v>2005</v>
      </c>
      <c r="C17" s="6">
        <f>'Exh 6 Stores BS'!G$20/'Exh 5 Stores IS'!H$19</f>
        <v>0.47238198285992716</v>
      </c>
      <c r="D17" s="6">
        <f>'Exh 6 Stores BS'!H$20/'Exh 5 Stores IS'!I$19</f>
        <v>0.48283507987688706</v>
      </c>
      <c r="E17" s="6">
        <f>'Exh 6 Stores BS'!I$20/'Exh 5 Stores IS'!J$19</f>
        <v>0.40591835663417963</v>
      </c>
      <c r="F17" s="6">
        <f>'Exh 6 Stores BS'!J$20/'Exh 5 Stores IS'!K$19</f>
        <v>0.46768163687919895</v>
      </c>
      <c r="G17" s="6">
        <f>'Exh 6 Stores BS'!K$20/'Exh 5 Stores IS'!L$19</f>
        <v>0.43407838249549929</v>
      </c>
      <c r="H17" s="6">
        <f>'Exh 6 Stores BS'!L$20/'Exh 5 Stores IS'!M$19</f>
        <v>0.44915723155588022</v>
      </c>
      <c r="I17" s="6">
        <f>'Exh 6 Stores BS'!M$20/'Exh 5 Stores IS'!N$19</f>
        <v>0.48151242009334422</v>
      </c>
    </row>
    <row r="18" spans="1:12" x14ac:dyDescent="0.3">
      <c r="B18" s="65">
        <v>2006</v>
      </c>
      <c r="C18" s="6">
        <f>'Exh 6 Stores BS'!H$27/'Exh 5 Stores IS'!I$26</f>
        <v>0.4560125339855764</v>
      </c>
      <c r="D18" s="6">
        <f>'Exh 6 Stores BS'!I$27/'Exh 5 Stores IS'!J$26</f>
        <v>0.58042183910093148</v>
      </c>
      <c r="E18" s="6">
        <f>'Exh 6 Stores BS'!J$27/'Exh 5 Stores IS'!K$26</f>
        <v>0.48804147295945394</v>
      </c>
      <c r="F18" s="6">
        <f>'Exh 6 Stores BS'!K$27/'Exh 5 Stores IS'!L$26</f>
        <v>0.59278692828938728</v>
      </c>
      <c r="G18" s="6">
        <f>'Exh 6 Stores BS'!L$27/'Exh 5 Stores IS'!M$26</f>
        <v>0.50448306810468357</v>
      </c>
      <c r="H18" s="6">
        <f>'Exh 6 Stores BS'!M$27/'Exh 5 Stores IS'!N$26</f>
        <v>0.4919752652205745</v>
      </c>
      <c r="I18" s="6"/>
      <c r="L18" s="20"/>
    </row>
    <row r="19" spans="1:12" x14ac:dyDescent="0.3">
      <c r="B19" s="65">
        <v>2007</v>
      </c>
      <c r="C19" s="6">
        <f>'Exh 6 Stores BS'!I$34/'Exh 5 Stores IS'!J$33</f>
        <v>0.46695544687003548</v>
      </c>
      <c r="D19" s="6">
        <f>'Exh 6 Stores BS'!J$34/'Exh 5 Stores IS'!K$33</f>
        <v>0.42201175635958244</v>
      </c>
      <c r="E19" s="6">
        <f>'Exh 6 Stores BS'!K$34/'Exh 5 Stores IS'!L$33</f>
        <v>0.53037243403545309</v>
      </c>
      <c r="F19" s="6">
        <f>'Exh 6 Stores BS'!L$34/'Exh 5 Stores IS'!M$33</f>
        <v>0.4805959977940597</v>
      </c>
      <c r="G19" s="6">
        <f>'Exh 6 Stores BS'!M$34/'Exh 5 Stores IS'!N$33</f>
        <v>0.4548216825905308</v>
      </c>
      <c r="H19" s="6"/>
      <c r="I19" s="6"/>
    </row>
    <row r="20" spans="1:12" x14ac:dyDescent="0.3">
      <c r="B20" s="65">
        <v>2008</v>
      </c>
      <c r="C20" s="6">
        <f>'Exh 6 Stores BS'!J$41/'Exh 5 Stores IS'!K$40</f>
        <v>0.50087663760775336</v>
      </c>
      <c r="D20" s="6">
        <f>'Exh 6 Stores BS'!K$41/'Exh 5 Stores IS'!L$40</f>
        <v>0.49362765742637094</v>
      </c>
      <c r="E20" s="6">
        <f>'Exh 6 Stores BS'!L$41/'Exh 5 Stores IS'!M$40</f>
        <v>0.48565298043207789</v>
      </c>
      <c r="F20" s="6">
        <f>'Exh 6 Stores BS'!M$41/'Exh 5 Stores IS'!N$40</f>
        <v>0.45887542838925638</v>
      </c>
      <c r="G20" s="6"/>
      <c r="H20" s="6"/>
      <c r="I20" s="6"/>
    </row>
    <row r="21" spans="1:12" x14ac:dyDescent="0.3">
      <c r="B21" s="65">
        <v>2009</v>
      </c>
      <c r="C21" s="6">
        <f>'Exh 6 Stores BS'!K$48/'Exh 5 Stores IS'!L$47</f>
        <v>0.47772094846168922</v>
      </c>
      <c r="D21" s="6">
        <f>'Exh 6 Stores BS'!L$48/'Exh 5 Stores IS'!M$47</f>
        <v>0.53389951573849881</v>
      </c>
      <c r="E21" s="6">
        <f>'Exh 6 Stores BS'!M$48/'Exh 5 Stores IS'!N$47</f>
        <v>0.46670800211976682</v>
      </c>
      <c r="F21" s="6"/>
      <c r="G21" s="6"/>
      <c r="H21" s="6"/>
      <c r="I21" s="6"/>
    </row>
    <row r="22" spans="1:12" x14ac:dyDescent="0.3">
      <c r="B22" s="65">
        <v>2010</v>
      </c>
      <c r="C22" s="6">
        <f>'Exh 6 Stores BS'!L$55/'Exh 5 Stores IS'!M$54</f>
        <v>0.45508625336927228</v>
      </c>
      <c r="D22" s="6">
        <f>'Exh 6 Stores BS'!M$55/'Exh 5 Stores IS'!N$54</f>
        <v>0.50699512139777625</v>
      </c>
      <c r="E22" s="6"/>
      <c r="F22" s="6"/>
      <c r="G22" s="6"/>
      <c r="H22" s="6"/>
      <c r="I22" s="6"/>
    </row>
    <row r="23" spans="1:12" x14ac:dyDescent="0.3">
      <c r="B23" s="67">
        <v>2011</v>
      </c>
      <c r="C23" s="66">
        <f>'Exh 6 Stores BS'!M$62/'Exh 5 Stores IS'!N$61</f>
        <v>0.45262356285265792</v>
      </c>
      <c r="D23" s="6"/>
      <c r="E23" s="6"/>
      <c r="F23" s="6"/>
      <c r="G23" s="6"/>
      <c r="H23" s="6"/>
      <c r="I23" s="6"/>
    </row>
    <row r="24" spans="1:12" x14ac:dyDescent="0.3">
      <c r="B24" s="47" t="s">
        <v>3</v>
      </c>
      <c r="C24" s="27">
        <f>AVERAGE(C15:K23)</f>
        <v>0.47561721508028959</v>
      </c>
      <c r="D24" s="27"/>
      <c r="E24" s="1"/>
      <c r="F24" s="19"/>
      <c r="G24" s="27"/>
      <c r="H24" s="27"/>
      <c r="I24" s="27"/>
    </row>
    <row r="25" spans="1:12" x14ac:dyDescent="0.3">
      <c r="B25" s="47"/>
      <c r="C25" s="27"/>
      <c r="D25" s="24"/>
      <c r="E25" s="24"/>
      <c r="F25" s="24"/>
      <c r="G25" s="24"/>
      <c r="H25" s="24"/>
      <c r="I25" s="24"/>
    </row>
    <row r="26" spans="1:12" x14ac:dyDescent="0.3">
      <c r="B26" s="63" t="s">
        <v>21</v>
      </c>
      <c r="C26" s="4">
        <v>1</v>
      </c>
      <c r="D26" s="4">
        <v>2</v>
      </c>
      <c r="E26" s="4">
        <v>3</v>
      </c>
      <c r="F26" s="4">
        <v>4</v>
      </c>
      <c r="G26" s="4">
        <v>5</v>
      </c>
      <c r="H26" s="4">
        <v>6</v>
      </c>
      <c r="I26" s="4">
        <v>7</v>
      </c>
      <c r="J26" s="4">
        <v>8</v>
      </c>
      <c r="K26" s="4">
        <v>9</v>
      </c>
    </row>
    <row r="27" spans="1:12" x14ac:dyDescent="0.3">
      <c r="A27" t="s">
        <v>12</v>
      </c>
      <c r="B27" s="65">
        <v>2003</v>
      </c>
      <c r="C27" s="6">
        <f>'Exh 6 Stores BS'!E$7/'Exh 5 Stores IS'!F$5</f>
        <v>0.16129263791099871</v>
      </c>
      <c r="D27" s="6">
        <f>'Exh 6 Stores BS'!F$7/'Exh 5 Stores IS'!G$5</f>
        <v>0.1716063926545108</v>
      </c>
      <c r="E27" s="6">
        <f>'Exh 6 Stores BS'!G$7/'Exh 5 Stores IS'!H$5</f>
        <v>0.14842593512904614</v>
      </c>
      <c r="F27" s="6">
        <f>'Exh 6 Stores BS'!H$7/'Exh 5 Stores IS'!I$5</f>
        <v>0.16921290106951872</v>
      </c>
      <c r="G27" s="6">
        <f>'Exh 6 Stores BS'!I$7/'Exh 5 Stores IS'!J$5</f>
        <v>0.14647259652053898</v>
      </c>
      <c r="H27" s="6">
        <f>'Exh 6 Stores BS'!J$7/'Exh 5 Stores IS'!K$5</f>
        <v>0.15163291796469369</v>
      </c>
      <c r="I27" s="6">
        <f>'Exh 6 Stores BS'!K$7/'Exh 5 Stores IS'!L$5</f>
        <v>0.1573296568068912</v>
      </c>
      <c r="J27" s="6">
        <f>'Exh 6 Stores BS'!L$7/'Exh 5 Stores IS'!M$5</f>
        <v>0.17224124296413454</v>
      </c>
      <c r="K27" s="6">
        <f>'Exh 6 Stores BS'!M$7/'Exh 5 Stores IS'!N$5</f>
        <v>0.15287127483443708</v>
      </c>
      <c r="L27" s="20"/>
    </row>
    <row r="28" spans="1:12" x14ac:dyDescent="0.3">
      <c r="B28" s="65">
        <v>2004</v>
      </c>
      <c r="C28" s="6">
        <f>'Exh 6 Stores BS'!F$14/'Exh 5 Stores IS'!G$12</f>
        <v>0.16050781414549894</v>
      </c>
      <c r="D28" s="6">
        <f>'Exh 6 Stores BS'!G$14/'Exh 5 Stores IS'!H$12</f>
        <v>0.16899645920002157</v>
      </c>
      <c r="E28" s="6">
        <f>'Exh 6 Stores BS'!H$14/'Exh 5 Stores IS'!I$12</f>
        <v>0.17995566084345746</v>
      </c>
      <c r="F28" s="6">
        <f>'Exh 6 Stores BS'!I$14/'Exh 5 Stores IS'!J$12</f>
        <v>0.15578191039729503</v>
      </c>
      <c r="G28" s="6">
        <f>'Exh 6 Stores BS'!J$14/'Exh 5 Stores IS'!K$12</f>
        <v>0.16995423948005436</v>
      </c>
      <c r="H28" s="6">
        <f>'Exh 6 Stores BS'!K$14/'Exh 5 Stores IS'!L$12</f>
        <v>0.16322486891385768</v>
      </c>
      <c r="I28" s="6">
        <f>'Exh 6 Stores BS'!L$14/'Exh 5 Stores IS'!M$12</f>
        <v>0.16794533036421513</v>
      </c>
      <c r="J28" s="6">
        <f>'Exh 6 Stores BS'!M$14/'Exh 5 Stores IS'!N$12</f>
        <v>0.15867431262977469</v>
      </c>
      <c r="K28" s="6"/>
    </row>
    <row r="29" spans="1:12" x14ac:dyDescent="0.3">
      <c r="B29" s="65">
        <v>2005</v>
      </c>
      <c r="C29" s="6">
        <f>'Exh 6 Stores BS'!G$21/'Exh 5 Stores IS'!H$19</f>
        <v>0.1544584252916392</v>
      </c>
      <c r="D29" s="6">
        <f>'Exh 6 Stores BS'!H$21/'Exh 5 Stores IS'!I$19</f>
        <v>0.16123873296204017</v>
      </c>
      <c r="E29" s="6">
        <f>'Exh 6 Stores BS'!I$21/'Exh 5 Stores IS'!J$19</f>
        <v>0.15241824290038669</v>
      </c>
      <c r="F29" s="6">
        <f>'Exh 6 Stores BS'!J$21/'Exh 5 Stores IS'!K$19</f>
        <v>0.16245826028638327</v>
      </c>
      <c r="G29" s="6">
        <f>'Exh 6 Stores BS'!K$21/'Exh 5 Stores IS'!L$19</f>
        <v>0.16222332300022371</v>
      </c>
      <c r="H29" s="6">
        <f>'Exh 6 Stores BS'!L$21/'Exh 5 Stores IS'!M$19</f>
        <v>0.15945144468793118</v>
      </c>
      <c r="I29" s="6">
        <f>'Exh 6 Stores BS'!M$21/'Exh 5 Stores IS'!N$19</f>
        <v>0.17304806565064479</v>
      </c>
    </row>
    <row r="30" spans="1:12" x14ac:dyDescent="0.3">
      <c r="B30" s="65">
        <v>2006</v>
      </c>
      <c r="C30" s="6">
        <f>'Exh 6 Stores BS'!H$28/'Exh 5 Stores IS'!I$26</f>
        <v>0.16097679008198529</v>
      </c>
      <c r="D30" s="6">
        <f>'Exh 6 Stores BS'!I$28/'Exh 5 Stores IS'!J$26</f>
        <v>0.19829892959552603</v>
      </c>
      <c r="E30" s="6">
        <f>'Exh 6 Stores BS'!J$28/'Exh 5 Stores IS'!K$26</f>
        <v>0.16044790501971401</v>
      </c>
      <c r="F30" s="6">
        <f>'Exh 6 Stores BS'!K$28/'Exh 5 Stores IS'!L$26</f>
        <v>0.19081132666148271</v>
      </c>
      <c r="G30" s="6">
        <f>'Exh 6 Stores BS'!L$28/'Exh 5 Stores IS'!M$26</f>
        <v>0.1633037182291274</v>
      </c>
      <c r="H30" s="6">
        <f>'Exh 6 Stores BS'!M$28/'Exh 5 Stores IS'!N$26</f>
        <v>0.16688640376692171</v>
      </c>
      <c r="I30" s="6"/>
    </row>
    <row r="31" spans="1:12" x14ac:dyDescent="0.3">
      <c r="B31" s="65">
        <v>2007</v>
      </c>
      <c r="C31" s="6">
        <f>'Exh 6 Stores BS'!I$35/'Exh 5 Stores IS'!J$33</f>
        <v>0.15454741802473984</v>
      </c>
      <c r="D31" s="6">
        <f>'Exh 6 Stores BS'!J$35/'Exh 5 Stores IS'!K$33</f>
        <v>0.16758677071720549</v>
      </c>
      <c r="E31" s="6">
        <f>'Exh 6 Stores BS'!K$35/'Exh 5 Stores IS'!L$33</f>
        <v>0.16514075887392898</v>
      </c>
      <c r="F31" s="6">
        <f>'Exh 6 Stores BS'!L$35/'Exh 5 Stores IS'!M$33</f>
        <v>0.17273838598702695</v>
      </c>
      <c r="G31" s="6">
        <f>'Exh 6 Stores BS'!M$35/'Exh 5 Stores IS'!N$33</f>
        <v>0.15188286159119166</v>
      </c>
      <c r="H31" s="6"/>
      <c r="I31" s="6"/>
    </row>
    <row r="32" spans="1:12" x14ac:dyDescent="0.3">
      <c r="B32" s="65">
        <v>2008</v>
      </c>
      <c r="C32" s="6">
        <f>'Exh 6 Stores BS'!J$42/'Exh 5 Stores IS'!K$40</f>
        <v>0.16997662299712654</v>
      </c>
      <c r="D32" s="6">
        <f>'Exh 6 Stores BS'!K$42/'Exh 5 Stores IS'!L$40</f>
        <v>0.15775579080970378</v>
      </c>
      <c r="E32" s="6">
        <f>'Exh 6 Stores BS'!L$42/'Exh 5 Stores IS'!M$40</f>
        <v>0.14973532405836443</v>
      </c>
      <c r="F32" s="6">
        <f>'Exh 6 Stores BS'!M$42/'Exh 5 Stores IS'!N$40</f>
        <v>0.15578172737174892</v>
      </c>
      <c r="G32" s="6"/>
      <c r="H32" s="6"/>
      <c r="I32" s="6"/>
    </row>
    <row r="33" spans="1:11" x14ac:dyDescent="0.3">
      <c r="B33" s="65">
        <v>2009</v>
      </c>
      <c r="C33" s="6">
        <f>'Exh 6 Stores BS'!K$49/'Exh 5 Stores IS'!L$47</f>
        <v>0.16775818146188515</v>
      </c>
      <c r="D33" s="6">
        <f>'Exh 6 Stores BS'!L$49/'Exh 5 Stores IS'!M$47</f>
        <v>0.15811743341404358</v>
      </c>
      <c r="E33" s="6">
        <f>'Exh 6 Stores BS'!M$49/'Exh 5 Stores IS'!N$47</f>
        <v>0.17303444621091682</v>
      </c>
      <c r="F33" s="6"/>
      <c r="G33" s="6"/>
      <c r="H33" s="6"/>
      <c r="I33" s="6"/>
    </row>
    <row r="34" spans="1:11" x14ac:dyDescent="0.3">
      <c r="B34" s="65">
        <v>2010</v>
      </c>
      <c r="C34" s="6">
        <f>'Exh 6 Stores BS'!L$56/'Exh 5 Stores IS'!M$54</f>
        <v>0.15642273135669363</v>
      </c>
      <c r="D34" s="6">
        <f>'Exh 6 Stores BS'!M$56/'Exh 5 Stores IS'!N$54</f>
        <v>0.16353585205355117</v>
      </c>
      <c r="E34" s="6"/>
      <c r="F34" s="6"/>
      <c r="G34" s="6"/>
      <c r="H34" s="6"/>
      <c r="I34" s="6"/>
    </row>
    <row r="35" spans="1:11" x14ac:dyDescent="0.3">
      <c r="B35" s="67">
        <v>2011</v>
      </c>
      <c r="C35" s="66">
        <f>'Exh 6 Stores BS'!M$63/'Exh 5 Stores IS'!N$61</f>
        <v>0.16407025582283316</v>
      </c>
      <c r="D35" s="6"/>
      <c r="E35" s="6"/>
      <c r="F35" s="6"/>
      <c r="G35" s="6"/>
      <c r="H35" s="6"/>
      <c r="I35" s="6"/>
    </row>
    <row r="36" spans="1:11" x14ac:dyDescent="0.3">
      <c r="B36" s="47" t="s">
        <v>3</v>
      </c>
      <c r="C36" s="27">
        <f>AVERAGE(C27:K34)</f>
        <v>0.16332186420206998</v>
      </c>
      <c r="D36" s="27"/>
      <c r="E36" s="1"/>
      <c r="F36" s="19"/>
      <c r="G36" s="27"/>
      <c r="H36" s="27"/>
      <c r="I36" s="27"/>
    </row>
    <row r="37" spans="1:11" x14ac:dyDescent="0.3">
      <c r="B37" s="47"/>
      <c r="C37" s="6"/>
      <c r="D37" s="24"/>
      <c r="E37" s="24"/>
      <c r="F37" s="24"/>
      <c r="G37" s="24"/>
      <c r="H37" s="24"/>
      <c r="I37" s="24"/>
    </row>
    <row r="38" spans="1:11" x14ac:dyDescent="0.3">
      <c r="B38" s="63" t="s">
        <v>21</v>
      </c>
      <c r="C38" s="4">
        <v>1</v>
      </c>
      <c r="D38" s="4">
        <v>2</v>
      </c>
      <c r="E38" s="4">
        <v>3</v>
      </c>
      <c r="F38" s="4">
        <v>4</v>
      </c>
      <c r="G38" s="4">
        <v>5</v>
      </c>
      <c r="H38" s="4">
        <v>6</v>
      </c>
      <c r="I38" s="4">
        <v>7</v>
      </c>
      <c r="J38" s="4">
        <v>8</v>
      </c>
      <c r="K38" s="4">
        <v>9</v>
      </c>
    </row>
    <row r="39" spans="1:11" x14ac:dyDescent="0.3">
      <c r="A39" t="s">
        <v>13</v>
      </c>
      <c r="B39" s="65">
        <v>2003</v>
      </c>
      <c r="C39" s="27">
        <f>'Exh 6 Stores BS'!E$8/('Exh 5 Stores IS'!F$6+'Exh 5 Stores IS'!F$7)</f>
        <v>4.7255669766682988E-2</v>
      </c>
      <c r="D39" s="27">
        <f>'Exh 6 Stores BS'!F$8/('Exh 5 Stores IS'!G$6+'Exh 5 Stores IS'!G$7)</f>
        <v>5.0631222416093601E-2</v>
      </c>
      <c r="E39" s="27">
        <f>'Exh 6 Stores BS'!G$8/('Exh 5 Stores IS'!H$6+'Exh 5 Stores IS'!H$7)</f>
        <v>4.8969745222929933E-2</v>
      </c>
      <c r="F39" s="27">
        <f>'Exh 6 Stores BS'!H$8/('Exh 5 Stores IS'!I$6+'Exh 5 Stores IS'!I$7)</f>
        <v>4.6990539702233249E-2</v>
      </c>
      <c r="G39" s="27">
        <f>'Exh 6 Stores BS'!I$8/('Exh 5 Stores IS'!J$6+'Exh 5 Stores IS'!J$7)</f>
        <v>4.9180274858528696E-2</v>
      </c>
      <c r="H39" s="27">
        <f>'Exh 6 Stores BS'!J$8/('Exh 5 Stores IS'!K$6+'Exh 5 Stores IS'!K$7)</f>
        <v>4.4500841750841749E-2</v>
      </c>
      <c r="I39" s="27">
        <f>'Exh 6 Stores BS'!K$8/('Exh 5 Stores IS'!L$6+'Exh 5 Stores IS'!L$7)</f>
        <v>4.633356365520816E-2</v>
      </c>
      <c r="J39" s="27">
        <f>'Exh 6 Stores BS'!L$8/('Exh 5 Stores IS'!M$6+'Exh 5 Stores IS'!M$7)</f>
        <v>5.2009560580989156E-2</v>
      </c>
      <c r="K39" s="27">
        <f>'Exh 6 Stores BS'!M$8/('Exh 5 Stores IS'!N$6+'Exh 5 Stores IS'!N$7)</f>
        <v>4.6771634615384618E-2</v>
      </c>
    </row>
    <row r="40" spans="1:11" x14ac:dyDescent="0.3">
      <c r="B40" s="65">
        <v>2004</v>
      </c>
      <c r="C40" s="27">
        <f>'Exh 6 Stores BS'!F$15/('Exh 5 Stores IS'!G$13+'Exh 5 Stores IS'!G$14)</f>
        <v>5.1403631661188644E-2</v>
      </c>
      <c r="D40" s="27">
        <f>'Exh 6 Stores BS'!G$15/('Exh 5 Stores IS'!H$13+'Exh 5 Stores IS'!H$14)</f>
        <v>5.0659974986370787E-2</v>
      </c>
      <c r="E40" s="27">
        <f>'Exh 6 Stores BS'!H$15/('Exh 5 Stores IS'!I$13+'Exh 5 Stores IS'!I$14)</f>
        <v>4.9419553502694377E-2</v>
      </c>
      <c r="F40" s="27">
        <f>'Exh 6 Stores BS'!I$15/('Exh 5 Stores IS'!J$13+'Exh 5 Stores IS'!J$14)</f>
        <v>4.8895486935866976E-2</v>
      </c>
      <c r="G40" s="27">
        <f>'Exh 6 Stores BS'!J$15/('Exh 5 Stores IS'!K$13+'Exh 5 Stores IS'!K$14)</f>
        <v>4.6668010133578998E-2</v>
      </c>
      <c r="H40" s="27">
        <f>'Exh 6 Stores BS'!K$15/('Exh 5 Stores IS'!L$13+'Exh 5 Stores IS'!L$14)</f>
        <v>4.6790372850051949E-2</v>
      </c>
      <c r="I40" s="27">
        <f>'Exh 6 Stores BS'!L$15/('Exh 5 Stores IS'!M$13+'Exh 5 Stores IS'!M$14)</f>
        <v>4.7986921999065853E-2</v>
      </c>
      <c r="J40" s="27">
        <f>'Exh 6 Stores BS'!M$15/('Exh 5 Stores IS'!N$13+'Exh 5 Stores IS'!N$14)</f>
        <v>4.8971350916604268E-2</v>
      </c>
      <c r="K40" s="27"/>
    </row>
    <row r="41" spans="1:11" x14ac:dyDescent="0.3">
      <c r="B41" s="65">
        <v>2005</v>
      </c>
      <c r="C41" s="27">
        <f>'Exh 6 Stores BS'!G$22/('Exh 5 Stores IS'!H$20+'Exh 5 Stores IS'!H$21)</f>
        <v>4.6121038041481578E-2</v>
      </c>
      <c r="D41" s="27">
        <f>'Exh 6 Stores BS'!H$22/('Exh 5 Stores IS'!I$20+'Exh 5 Stores IS'!I$21)</f>
        <v>4.7460687245195109E-2</v>
      </c>
      <c r="E41" s="27">
        <f>'Exh 6 Stores BS'!I$22/('Exh 5 Stores IS'!J$20+'Exh 5 Stores IS'!J$21)</f>
        <v>4.8375484027105523E-2</v>
      </c>
      <c r="F41" s="27">
        <f>'Exh 6 Stores BS'!J$22/('Exh 5 Stores IS'!K$20+'Exh 5 Stores IS'!K$21)</f>
        <v>4.3859872336754938E-2</v>
      </c>
      <c r="G41" s="27">
        <f>'Exh 6 Stores BS'!K$22/('Exh 5 Stores IS'!L$20+'Exh 5 Stores IS'!L$21)</f>
        <v>5.1960224816255944E-2</v>
      </c>
      <c r="H41" s="27">
        <f>'Exh 6 Stores BS'!L$22/('Exh 5 Stores IS'!M$20+'Exh 5 Stores IS'!M$21)</f>
        <v>5.0037140394796245E-2</v>
      </c>
      <c r="I41" s="27">
        <f>'Exh 6 Stores BS'!M$22/('Exh 5 Stores IS'!N$20+'Exh 5 Stores IS'!N$21)</f>
        <v>4.5718868474773987E-2</v>
      </c>
    </row>
    <row r="42" spans="1:11" x14ac:dyDescent="0.3">
      <c r="B42" s="65">
        <v>2006</v>
      </c>
      <c r="C42" s="27">
        <f>'Exh 6 Stores BS'!H$29/('Exh 5 Stores IS'!I$27+'Exh 5 Stores IS'!I$28)</f>
        <v>4.6284918882595762E-2</v>
      </c>
      <c r="D42" s="27">
        <f>'Exh 6 Stores BS'!I$29/('Exh 5 Stores IS'!J$27+'Exh 5 Stores IS'!J$28)</f>
        <v>4.6818840079994484E-2</v>
      </c>
      <c r="E42" s="27">
        <f>'Exh 6 Stores BS'!J$29/('Exh 5 Stores IS'!K$27+'Exh 5 Stores IS'!K$28)</f>
        <v>4.8368788607002888E-2</v>
      </c>
      <c r="F42" s="27">
        <f>'Exh 6 Stores BS'!K$29/('Exh 5 Stores IS'!L$27+'Exh 5 Stores IS'!L$28)</f>
        <v>5.0308427829268719E-2</v>
      </c>
      <c r="G42" s="27">
        <f>'Exh 6 Stores BS'!L$29/('Exh 5 Stores IS'!M$27+'Exh 5 Stores IS'!M$28)</f>
        <v>4.6626329198050508E-2</v>
      </c>
      <c r="H42" s="27">
        <f>'Exh 6 Stores BS'!M$29/('Exh 5 Stores IS'!N$27+'Exh 5 Stores IS'!N$28)</f>
        <v>4.7350558504755579E-2</v>
      </c>
      <c r="I42" s="27"/>
    </row>
    <row r="43" spans="1:11" x14ac:dyDescent="0.3">
      <c r="B43" s="65">
        <v>2007</v>
      </c>
      <c r="C43" s="27">
        <f>'Exh 6 Stores BS'!I$36/('Exh 5 Stores IS'!J$34+'Exh 5 Stores IS'!J$35)</f>
        <v>4.6028992395437257E-2</v>
      </c>
      <c r="D43" s="27">
        <f>'Exh 6 Stores BS'!J$36/('Exh 5 Stores IS'!K$34+'Exh 5 Stores IS'!K$35)</f>
        <v>5.0034787946999539E-2</v>
      </c>
      <c r="E43" s="27">
        <f>'Exh 6 Stores BS'!K$36/('Exh 5 Stores IS'!L$34+'Exh 5 Stores IS'!L$35)</f>
        <v>4.5690972835271272E-2</v>
      </c>
      <c r="F43" s="27">
        <f>'Exh 6 Stores BS'!L$36/('Exh 5 Stores IS'!M$34+'Exh 5 Stores IS'!M$35)</f>
        <v>4.8130457308212339E-2</v>
      </c>
      <c r="G43" s="27">
        <f>'Exh 6 Stores BS'!M$36/('Exh 5 Stores IS'!N$34+'Exh 5 Stores IS'!N$35)</f>
        <v>4.8251110643342233E-2</v>
      </c>
      <c r="H43" s="27"/>
      <c r="I43" s="27"/>
    </row>
    <row r="44" spans="1:11" x14ac:dyDescent="0.3">
      <c r="B44" s="65">
        <v>2008</v>
      </c>
      <c r="C44" s="27">
        <f>'Exh 6 Stores BS'!J$43/('Exh 5 Stores IS'!K$41+'Exh 5 Stores IS'!K$42)</f>
        <v>5.0866847505602081E-2</v>
      </c>
      <c r="D44" s="27">
        <f>'Exh 6 Stores BS'!K$43/('Exh 5 Stores IS'!L$41+'Exh 5 Stores IS'!L$42)</f>
        <v>4.9656622767703232E-2</v>
      </c>
      <c r="E44" s="27">
        <f>'Exh 6 Stores BS'!L$43/('Exh 5 Stores IS'!M$41+'Exh 5 Stores IS'!M$42)</f>
        <v>4.8498628634119578E-2</v>
      </c>
      <c r="F44" s="27">
        <f>'Exh 6 Stores BS'!M$43/('Exh 5 Stores IS'!N$41+'Exh 5 Stores IS'!N$42)</f>
        <v>4.8758146082060375E-2</v>
      </c>
      <c r="G44" s="27"/>
      <c r="H44" s="27"/>
      <c r="I44" s="27"/>
    </row>
    <row r="45" spans="1:11" x14ac:dyDescent="0.3">
      <c r="B45" s="65">
        <v>2009</v>
      </c>
      <c r="C45" s="27">
        <f>'Exh 6 Stores BS'!K$50/('Exh 5 Stores IS'!L$48+'Exh 5 Stores IS'!L$49)</f>
        <v>5.1706435285610995E-2</v>
      </c>
      <c r="D45" s="27">
        <f>'Exh 6 Stores BS'!L$50/('Exh 5 Stores IS'!M$48+'Exh 5 Stores IS'!M$49)</f>
        <v>4.7732862190812721E-2</v>
      </c>
      <c r="E45" s="27">
        <f>'Exh 6 Stores BS'!M$50/('Exh 5 Stores IS'!N$48+'Exh 5 Stores IS'!N$49)</f>
        <v>4.7335802200196057E-2</v>
      </c>
      <c r="F45" s="27"/>
      <c r="G45" s="27"/>
      <c r="H45" s="27"/>
      <c r="I45" s="27"/>
    </row>
    <row r="46" spans="1:11" x14ac:dyDescent="0.3">
      <c r="B46" s="65">
        <v>2010</v>
      </c>
      <c r="C46" s="27">
        <f>'Exh 6 Stores BS'!L$57/('Exh 5 Stores IS'!M$55+'Exh 5 Stores IS'!M$56)</f>
        <v>4.5494054940549408E-2</v>
      </c>
      <c r="D46" s="27">
        <f>'Exh 6 Stores BS'!M$57/('Exh 5 Stores IS'!N$55+'Exh 5 Stores IS'!N$56)</f>
        <v>4.729944029850746E-2</v>
      </c>
      <c r="E46" s="27"/>
      <c r="F46" s="27"/>
      <c r="G46" s="27"/>
      <c r="H46" s="27"/>
      <c r="I46" s="27"/>
    </row>
    <row r="47" spans="1:11" x14ac:dyDescent="0.3">
      <c r="B47" s="67">
        <v>2011</v>
      </c>
      <c r="C47" s="68">
        <f>'Exh 6 Stores BS'!M$64/('Exh 5 Stores IS'!N$62+'Exh 5 Stores IS'!N$63)</f>
        <v>4.4471299093655589E-2</v>
      </c>
      <c r="D47" s="27"/>
      <c r="E47" s="27"/>
      <c r="F47" s="27"/>
      <c r="G47" s="27"/>
      <c r="H47" s="27"/>
      <c r="I47" s="27"/>
    </row>
    <row r="48" spans="1:11" x14ac:dyDescent="0.3">
      <c r="B48" s="47" t="s">
        <v>3</v>
      </c>
      <c r="C48" s="27">
        <f>AVERAGE(C39:K47)</f>
        <v>4.8059688758231696E-2</v>
      </c>
      <c r="D48" s="27"/>
      <c r="E48" s="1"/>
      <c r="F48" s="19"/>
      <c r="G48" s="27"/>
      <c r="H48" s="27"/>
      <c r="I48" s="27"/>
    </row>
    <row r="50" spans="1:12" x14ac:dyDescent="0.3">
      <c r="B50" s="4"/>
      <c r="C50" s="63" t="s">
        <v>36</v>
      </c>
      <c r="D50" s="63" t="s">
        <v>54</v>
      </c>
    </row>
    <row r="51" spans="1:12" x14ac:dyDescent="0.3">
      <c r="A51" t="s">
        <v>53</v>
      </c>
      <c r="B51" s="25">
        <v>2003</v>
      </c>
      <c r="C51" s="8">
        <f>1000*'Exh 6 Stores BS'!E4/('Exh 6 Stores BS'!C3*'Exh 6 Stores BS'!D3)</f>
        <v>20.813953488372093</v>
      </c>
      <c r="D51" s="8">
        <f>C51/(HLOOKUP(B51,'Exh 2 Econ Indicators'!$B$2:$S$8,2,FALSE)/HLOOKUP($B$60,'Exh 2 Econ Indicators'!$B$2:$S$8,2,FALSE))</f>
        <v>25.930030031924691</v>
      </c>
      <c r="E51" s="8"/>
      <c r="K51" s="31"/>
      <c r="L51" s="8"/>
    </row>
    <row r="52" spans="1:12" x14ac:dyDescent="0.3">
      <c r="B52" s="25">
        <v>2004</v>
      </c>
      <c r="C52" s="8">
        <f>1000*'Exh 6 Stores BS'!F11/('Exh 6 Stores BS'!C10*'Exh 6 Stores BS'!D10)</f>
        <v>22.253787878787879</v>
      </c>
      <c r="D52" s="8">
        <f>C52/(HLOOKUP(B52,'Exh 2 Econ Indicators'!$B$2:$S$8,2,FALSE)/HLOOKUP($B$60,'Exh 2 Econ Indicators'!$B$2:$S$8,2,FALSE))</f>
        <v>26.849668685010904</v>
      </c>
      <c r="E52" s="8"/>
      <c r="K52" s="31"/>
      <c r="L52" s="8"/>
    </row>
    <row r="53" spans="1:12" x14ac:dyDescent="0.3">
      <c r="B53" s="25">
        <v>2005</v>
      </c>
      <c r="C53" s="8">
        <f>1000*'Exh 6 Stores BS'!G18/('Exh 6 Stores BS'!C17*'Exh 6 Stores BS'!D17)</f>
        <v>24.513513513513512</v>
      </c>
      <c r="D53" s="8">
        <f>C53/(HLOOKUP(B53,'Exh 2 Econ Indicators'!$B$2:$S$8,2,FALSE)/HLOOKUP($B$60,'Exh 2 Econ Indicators'!$B$2:$S$8,2,FALSE))</f>
        <v>28.599223659635239</v>
      </c>
      <c r="E53" s="8"/>
      <c r="K53" s="31"/>
      <c r="L53" s="8"/>
    </row>
    <row r="54" spans="1:12" x14ac:dyDescent="0.3">
      <c r="B54" s="25">
        <v>2006</v>
      </c>
      <c r="C54" s="8">
        <f>1000*'Exh 6 Stores BS'!H25/('Exh 6 Stores BS'!C24*'Exh 6 Stores BS'!D24)</f>
        <v>28.161137440758292</v>
      </c>
      <c r="D54" s="8">
        <f>C54/(HLOOKUP(B54,'Exh 2 Econ Indicators'!$B$2:$S$8,2,FALSE)/HLOOKUP($B$60,'Exh 2 Econ Indicators'!$B$2:$S$8,2,FALSE))</f>
        <v>32.04075974992837</v>
      </c>
      <c r="E54" s="8"/>
      <c r="K54" s="31"/>
      <c r="L54" s="8"/>
    </row>
    <row r="55" spans="1:12" x14ac:dyDescent="0.3">
      <c r="B55" s="25">
        <v>2007</v>
      </c>
      <c r="C55" s="8">
        <f>1000*('Exh 6 Stores BS'!I32/('Exh 6 Stores BS'!C31*'Exh 6 Stores BS'!D31))</f>
        <v>30.603318250377075</v>
      </c>
      <c r="D55" s="8">
        <f>C55/(HLOOKUP(B55,'Exh 2 Econ Indicators'!$B$2:$S$8,2,FALSE)/HLOOKUP($B$60,'Exh 2 Econ Indicators'!$B$2:$S$8,2,FALSE))</f>
        <v>33.45403870576866</v>
      </c>
      <c r="E55" s="8"/>
      <c r="K55" s="31"/>
      <c r="L55" s="8"/>
    </row>
    <row r="56" spans="1:12" x14ac:dyDescent="0.3">
      <c r="B56" s="25">
        <v>2008</v>
      </c>
      <c r="C56" s="8">
        <f>1000*'Exh 6 Stores BS'!J39/('Exh 6 Stores BS'!C38*'Exh 6 Stores BS'!D38)</f>
        <v>29.806451612903224</v>
      </c>
      <c r="D56" s="8">
        <f>C56/(HLOOKUP(B56,'Exh 2 Econ Indicators'!$B$2:$S$8,2,FALSE)/HLOOKUP($B$60,'Exh 2 Econ Indicators'!$B$2:$S$8,2,FALSE))</f>
        <v>32.553185573635261</v>
      </c>
      <c r="E56" s="8"/>
      <c r="K56" s="31"/>
      <c r="L56" s="8"/>
    </row>
    <row r="57" spans="1:12" x14ac:dyDescent="0.3">
      <c r="B57" s="25">
        <v>2009</v>
      </c>
      <c r="C57" s="8">
        <f>1000*'Exh 6 Stores BS'!K46/('Exh 6 Stores BS'!C45*'Exh 6 Stores BS'!D45)</f>
        <v>27.172413793103448</v>
      </c>
      <c r="D57" s="8">
        <f>C57/(HLOOKUP(B57,'Exh 2 Econ Indicators'!$B$2:$S$8,2,FALSE)/HLOOKUP($B$60,'Exh 2 Econ Indicators'!$B$2:$S$8,2,FALSE))</f>
        <v>28.89021657572086</v>
      </c>
      <c r="E57" s="8"/>
      <c r="K57" s="31"/>
      <c r="L57" s="8"/>
    </row>
    <row r="58" spans="1:12" x14ac:dyDescent="0.3">
      <c r="B58" s="25">
        <v>2010</v>
      </c>
      <c r="C58" s="8">
        <f>1000*'Exh 6 Stores BS'!L53/('Exh 6 Stores BS'!C52*'Exh 6 Stores BS'!D52)</f>
        <v>25.578231292517007</v>
      </c>
      <c r="D58" s="8">
        <f>C58/(HLOOKUP(B58,'Exh 2 Econ Indicators'!$B$2:$S$8,2,FALSE)/HLOOKUP($B$60,'Exh 2 Econ Indicators'!$B$2:$S$8,2,FALSE))</f>
        <v>26.794480689268575</v>
      </c>
      <c r="E58" s="8"/>
      <c r="K58" s="31"/>
      <c r="L58" s="8"/>
    </row>
    <row r="59" spans="1:12" x14ac:dyDescent="0.3">
      <c r="B59" s="25">
        <v>2011</v>
      </c>
      <c r="C59" s="8">
        <f>1000*'Exh 6 Stores BS'!M60/('Exh 6 Stores BS'!C59*'Exh 6 Stores BS'!D59)</f>
        <v>25.90909090909091</v>
      </c>
      <c r="D59" s="8">
        <f>C59/(HLOOKUP(B59,'Exh 2 Econ Indicators'!$B$2:$S$8,2,FALSE)/HLOOKUP($B$60,'Exh 2 Econ Indicators'!$B$2:$S$8,2,FALSE))</f>
        <v>26.360173977357324</v>
      </c>
      <c r="E59" s="8"/>
      <c r="K59" s="31"/>
      <c r="L59" s="8"/>
    </row>
    <row r="60" spans="1:12" x14ac:dyDescent="0.3">
      <c r="B60" s="25">
        <v>2012</v>
      </c>
      <c r="C60" s="8">
        <f>1000*'Exh 6 Stores BS'!N67/('Exh 6 Stores BS'!C66*'Exh 6 Stores BS'!D66)</f>
        <v>26.441717791411044</v>
      </c>
      <c r="D60" s="8">
        <f>C60/(HLOOKUP(B60,'Exh 2 Econ Indicators'!$B$2:$S$8,2,FALSE)/HLOOKUP($B$60,'Exh 2 Econ Indicators'!$B$2:$S$8,2,FALSE))</f>
        <v>26.441717791411044</v>
      </c>
      <c r="E60" s="8"/>
      <c r="K60" s="31"/>
      <c r="L60" s="8"/>
    </row>
    <row r="61" spans="1:12" x14ac:dyDescent="0.3">
      <c r="B61" s="25">
        <v>2013</v>
      </c>
      <c r="C61" s="8">
        <f>1000*'Exh 6 Stores BS'!O74/('Exh 6 Stores BS'!C73*'Exh 6 Stores BS'!D73)</f>
        <v>26.885938650306748</v>
      </c>
      <c r="D61" s="8">
        <f>C61/(HLOOKUP(B61,'Exh 2 Econ Indicators'!$B$2:$S$8,2,FALSE)/HLOOKUP($B$60,'Exh 2 Econ Indicators'!$B$2:$S$8,2,FALSE))</f>
        <v>26.441717791411044</v>
      </c>
      <c r="E61" s="8"/>
      <c r="K61" s="31"/>
      <c r="L61" s="8"/>
    </row>
    <row r="62" spans="1:12" x14ac:dyDescent="0.3">
      <c r="B62" s="25">
        <v>2014</v>
      </c>
      <c r="C62" s="8">
        <f>1000*'Exh 6 Stores BS'!P81/('Exh 6 Stores BS'!C80*'Exh 6 Stores BS'!D80)</f>
        <v>27.372574139877301</v>
      </c>
      <c r="D62" s="8">
        <f>C62/(HLOOKUP(B62,'Exh 2 Econ Indicators'!$B$2:$S$8,2,FALSE)/HLOOKUP($B$60,'Exh 2 Econ Indicators'!$B$2:$S$8,2,FALSE))</f>
        <v>26.441717791411044</v>
      </c>
      <c r="E62" s="8"/>
      <c r="K62" s="31"/>
      <c r="L62" s="8"/>
    </row>
    <row r="63" spans="1:12" x14ac:dyDescent="0.3">
      <c r="B63" s="25">
        <v>2015</v>
      </c>
      <c r="C63" s="8">
        <f>1000*'Exh 6 Stores BS'!Q88/('Exh 6 Stores BS'!C87*'Exh 6 Stores BS'!D87)</f>
        <v>27.903602078190918</v>
      </c>
      <c r="D63" s="8">
        <f>C63/(HLOOKUP(B63,'Exh 2 Econ Indicators'!$B$2:$S$8,2,FALSE)/HLOOKUP($B$60,'Exh 2 Econ Indicators'!$B$2:$S$8,2,FALSE))</f>
        <v>26.44171779141104</v>
      </c>
      <c r="E63" s="8"/>
      <c r="K63" s="31"/>
      <c r="L63" s="8"/>
    </row>
    <row r="64" spans="1:12" x14ac:dyDescent="0.3">
      <c r="B64" s="25"/>
      <c r="C64" s="8"/>
      <c r="D64" s="31"/>
      <c r="E64" s="8"/>
      <c r="K64" s="31"/>
      <c r="L64" s="8"/>
    </row>
    <row r="65" spans="1:7" x14ac:dyDescent="0.3">
      <c r="B65" s="25"/>
      <c r="D65" s="31"/>
      <c r="E65" s="8"/>
    </row>
    <row r="66" spans="1:7" x14ac:dyDescent="0.3">
      <c r="C66" s="63" t="s">
        <v>36</v>
      </c>
      <c r="D66" s="63" t="s">
        <v>54</v>
      </c>
    </row>
    <row r="67" spans="1:7" x14ac:dyDescent="0.3">
      <c r="A67" t="s">
        <v>55</v>
      </c>
      <c r="B67">
        <v>2003</v>
      </c>
      <c r="C67" s="6">
        <f>'Exh 6 Stores BS'!$M$4/'Exh 6 Stores BS'!$E$4</f>
        <v>0.90614525139664803</v>
      </c>
      <c r="D67" s="6">
        <f>C67/(HLOOKUP(B67+8,'Exh 2 Econ Indicators'!$B$2:$S$8,2,FALSE)/HLOOKUP(B67,'Exh 2 Econ Indicators'!$B$2:$S$8,2,FALSE))</f>
        <v>0.74002344035769718</v>
      </c>
      <c r="E67" s="3"/>
      <c r="G67" s="3"/>
    </row>
    <row r="68" spans="1:7" x14ac:dyDescent="0.3">
      <c r="B68" s="4">
        <v>2004</v>
      </c>
      <c r="C68" s="66">
        <f>'Exh 6 Stores BS'!N11/'Exh 6 Stores BS'!F11</f>
        <v>0.79625531914893621</v>
      </c>
      <c r="D68" s="66">
        <f>C68/(HLOOKUP(B68+8,'Exh 2 Econ Indicators'!$B$2:$S$8,2,FALSE)/HLOOKUP(B68,'Exh 2 Econ Indicators'!$B$2:$S$8,2,FALSE))</f>
        <v>0.65995961356458621</v>
      </c>
      <c r="E68" s="3"/>
      <c r="G68" s="3"/>
    </row>
    <row r="69" spans="1:7" x14ac:dyDescent="0.3">
      <c r="B69" s="47" t="s">
        <v>3</v>
      </c>
      <c r="D69" s="27">
        <f>ROUND(AVERAGE(D67:D68),4)</f>
        <v>0.7</v>
      </c>
      <c r="E69" s="5"/>
      <c r="G69" s="3"/>
    </row>
  </sheetData>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XFC26"/>
  <sheetViews>
    <sheetView zoomScaleNormal="100" zoomScalePageLayoutView="105" workbookViewId="0">
      <selection activeCell="A3" sqref="A3:P3"/>
    </sheetView>
  </sheetViews>
  <sheetFormatPr defaultColWidth="8.77734375" defaultRowHeight="14.4" x14ac:dyDescent="0.3"/>
  <cols>
    <col min="1" max="1" width="37.44140625" customWidth="1"/>
    <col min="2" max="2" width="9.44140625" customWidth="1"/>
    <col min="4" max="7" width="9.44140625" bestFit="1" customWidth="1"/>
  </cols>
  <sheetData>
    <row r="1" spans="1:16383" ht="18" x14ac:dyDescent="0.35">
      <c r="A1" s="10" t="s">
        <v>58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row>
    <row r="2" spans="1:16383" x14ac:dyDescent="0.3">
      <c r="B2" s="4">
        <v>1</v>
      </c>
      <c r="C2" s="4">
        <f>B2+1</f>
        <v>2</v>
      </c>
      <c r="D2" s="4">
        <f t="shared" ref="D2:P2" si="0">C2+1</f>
        <v>3</v>
      </c>
      <c r="E2" s="4">
        <f t="shared" si="0"/>
        <v>4</v>
      </c>
      <c r="F2" s="4">
        <f t="shared" si="0"/>
        <v>5</v>
      </c>
      <c r="G2" s="4">
        <f t="shared" si="0"/>
        <v>6</v>
      </c>
      <c r="H2" s="4">
        <f t="shared" si="0"/>
        <v>7</v>
      </c>
      <c r="I2" s="4">
        <f t="shared" si="0"/>
        <v>8</v>
      </c>
      <c r="J2" s="4">
        <f t="shared" si="0"/>
        <v>9</v>
      </c>
      <c r="K2" s="4">
        <f t="shared" si="0"/>
        <v>10</v>
      </c>
      <c r="L2" s="4">
        <f t="shared" si="0"/>
        <v>11</v>
      </c>
      <c r="M2" s="4">
        <f t="shared" si="0"/>
        <v>12</v>
      </c>
      <c r="N2" s="4">
        <f t="shared" si="0"/>
        <v>13</v>
      </c>
      <c r="O2" s="4">
        <f t="shared" si="0"/>
        <v>14</v>
      </c>
      <c r="P2" s="4">
        <f t="shared" si="0"/>
        <v>15</v>
      </c>
    </row>
    <row r="3" spans="1:16383" x14ac:dyDescent="0.3">
      <c r="A3" t="s">
        <v>22</v>
      </c>
      <c r="B3" s="6"/>
      <c r="C3" s="71">
        <v>0.70199999999999996</v>
      </c>
      <c r="D3" s="71">
        <v>0.33500000000000002</v>
      </c>
      <c r="E3" s="71">
        <v>0.22900000000000001</v>
      </c>
      <c r="F3" s="71">
        <v>9.7000000000000003E-2</v>
      </c>
      <c r="G3" s="71">
        <v>1.4999999999999999E-2</v>
      </c>
      <c r="H3" s="71">
        <v>3.0000000000000001E-3</v>
      </c>
      <c r="I3" s="27">
        <f>H3</f>
        <v>3.0000000000000001E-3</v>
      </c>
      <c r="J3" s="27">
        <f t="shared" ref="J3:P3" si="1">I3</f>
        <v>3.0000000000000001E-3</v>
      </c>
      <c r="K3" s="27">
        <f t="shared" si="1"/>
        <v>3.0000000000000001E-3</v>
      </c>
      <c r="L3" s="27">
        <f t="shared" si="1"/>
        <v>3.0000000000000001E-3</v>
      </c>
      <c r="M3" s="27">
        <f t="shared" si="1"/>
        <v>3.0000000000000001E-3</v>
      </c>
      <c r="N3" s="27">
        <f t="shared" si="1"/>
        <v>3.0000000000000001E-3</v>
      </c>
      <c r="O3" s="27">
        <f t="shared" si="1"/>
        <v>3.0000000000000001E-3</v>
      </c>
      <c r="P3" s="27">
        <f t="shared" si="1"/>
        <v>3.0000000000000001E-3</v>
      </c>
    </row>
    <row r="4" spans="1:16383" x14ac:dyDescent="0.3">
      <c r="A4" t="s">
        <v>2</v>
      </c>
      <c r="B4" s="71">
        <v>0.70899999999999996</v>
      </c>
      <c r="C4" s="71">
        <v>0.63700000000000001</v>
      </c>
      <c r="D4" s="71">
        <v>0.56200000000000006</v>
      </c>
      <c r="E4" s="71">
        <v>0.39700000000000002</v>
      </c>
      <c r="F4" s="79">
        <f>E4</f>
        <v>0.39700000000000002</v>
      </c>
      <c r="G4" s="79">
        <f t="shared" ref="G4:P4" si="2">F4</f>
        <v>0.39700000000000002</v>
      </c>
      <c r="H4" s="79">
        <f t="shared" si="2"/>
        <v>0.39700000000000002</v>
      </c>
      <c r="I4" s="79">
        <f t="shared" si="2"/>
        <v>0.39700000000000002</v>
      </c>
      <c r="J4" s="79">
        <f t="shared" si="2"/>
        <v>0.39700000000000002</v>
      </c>
      <c r="K4" s="79">
        <f t="shared" si="2"/>
        <v>0.39700000000000002</v>
      </c>
      <c r="L4" s="79">
        <f t="shared" si="2"/>
        <v>0.39700000000000002</v>
      </c>
      <c r="M4" s="79">
        <f t="shared" si="2"/>
        <v>0.39700000000000002</v>
      </c>
      <c r="N4" s="79">
        <f t="shared" si="2"/>
        <v>0.39700000000000002</v>
      </c>
      <c r="O4" s="79">
        <f t="shared" si="2"/>
        <v>0.39700000000000002</v>
      </c>
      <c r="P4" s="79">
        <f t="shared" si="2"/>
        <v>0.39700000000000002</v>
      </c>
    </row>
    <row r="5" spans="1:16383" x14ac:dyDescent="0.3">
      <c r="A5" t="s">
        <v>64</v>
      </c>
      <c r="B5" s="71">
        <v>0.193</v>
      </c>
      <c r="C5" s="71">
        <v>0.183</v>
      </c>
      <c r="D5" s="71">
        <v>0.17299999999999999</v>
      </c>
      <c r="E5" s="71">
        <v>0.13600000000000001</v>
      </c>
      <c r="F5" s="79">
        <f t="shared" ref="F5:P6" si="3">E5</f>
        <v>0.13600000000000001</v>
      </c>
      <c r="G5" s="79">
        <f t="shared" si="3"/>
        <v>0.13600000000000001</v>
      </c>
      <c r="H5" s="79">
        <f t="shared" si="3"/>
        <v>0.13600000000000001</v>
      </c>
      <c r="I5" s="79">
        <f t="shared" si="3"/>
        <v>0.13600000000000001</v>
      </c>
      <c r="J5" s="79">
        <f t="shared" si="3"/>
        <v>0.13600000000000001</v>
      </c>
      <c r="K5" s="79">
        <f t="shared" si="3"/>
        <v>0.13600000000000001</v>
      </c>
      <c r="L5" s="79">
        <f t="shared" si="3"/>
        <v>0.13600000000000001</v>
      </c>
      <c r="M5" s="79">
        <f t="shared" si="3"/>
        <v>0.13600000000000001</v>
      </c>
      <c r="N5" s="79">
        <f t="shared" si="3"/>
        <v>0.13600000000000001</v>
      </c>
      <c r="O5" s="79">
        <f t="shared" si="3"/>
        <v>0.13600000000000001</v>
      </c>
      <c r="P5" s="79">
        <f t="shared" si="3"/>
        <v>0.13600000000000001</v>
      </c>
    </row>
    <row r="6" spans="1:16383" x14ac:dyDescent="0.3">
      <c r="A6" t="s">
        <v>86</v>
      </c>
      <c r="B6" s="71">
        <v>0.106</v>
      </c>
      <c r="C6" s="71">
        <v>8.8999999999999996E-2</v>
      </c>
      <c r="D6" s="71">
        <v>8.2000000000000003E-2</v>
      </c>
      <c r="E6" s="71">
        <v>7.1999999999999995E-2</v>
      </c>
      <c r="F6" s="79">
        <f t="shared" si="3"/>
        <v>7.1999999999999995E-2</v>
      </c>
      <c r="G6" s="79">
        <f t="shared" si="3"/>
        <v>7.1999999999999995E-2</v>
      </c>
      <c r="H6" s="79">
        <f t="shared" si="3"/>
        <v>7.1999999999999995E-2</v>
      </c>
      <c r="I6" s="79">
        <f t="shared" si="3"/>
        <v>7.1999999999999995E-2</v>
      </c>
      <c r="J6" s="79">
        <f t="shared" si="3"/>
        <v>7.1999999999999995E-2</v>
      </c>
      <c r="K6" s="79">
        <f t="shared" si="3"/>
        <v>7.1999999999999995E-2</v>
      </c>
      <c r="L6" s="79">
        <f t="shared" si="3"/>
        <v>7.1999999999999995E-2</v>
      </c>
      <c r="M6" s="79">
        <f t="shared" si="3"/>
        <v>7.1999999999999995E-2</v>
      </c>
      <c r="N6" s="79">
        <f t="shared" si="3"/>
        <v>7.1999999999999995E-2</v>
      </c>
      <c r="O6" s="79">
        <f t="shared" si="3"/>
        <v>7.1999999999999995E-2</v>
      </c>
      <c r="P6" s="79">
        <f t="shared" si="3"/>
        <v>7.1999999999999995E-2</v>
      </c>
    </row>
    <row r="7" spans="1:16383" x14ac:dyDescent="0.3">
      <c r="A7" t="s">
        <v>65</v>
      </c>
      <c r="B7" s="71">
        <v>0.32400000000000001</v>
      </c>
      <c r="C7" s="70"/>
      <c r="D7" s="72"/>
      <c r="E7" s="72"/>
      <c r="F7" s="72"/>
    </row>
    <row r="8" spans="1:16383" x14ac:dyDescent="0.3">
      <c r="A8" t="s">
        <v>66</v>
      </c>
      <c r="B8" s="71">
        <v>0.47599999999999998</v>
      </c>
      <c r="C8" s="70"/>
      <c r="D8" s="72"/>
      <c r="E8" s="72"/>
      <c r="F8" s="72"/>
    </row>
    <row r="9" spans="1:16383" x14ac:dyDescent="0.3">
      <c r="A9" t="s">
        <v>67</v>
      </c>
      <c r="B9" s="71">
        <v>0.16300000000000001</v>
      </c>
      <c r="C9" s="70"/>
    </row>
    <row r="10" spans="1:16383" x14ac:dyDescent="0.3">
      <c r="A10" t="s">
        <v>87</v>
      </c>
      <c r="B10" s="71">
        <v>4.8000000000000001E-2</v>
      </c>
      <c r="C10" s="70"/>
    </row>
    <row r="11" spans="1:16383" x14ac:dyDescent="0.3">
      <c r="A11" t="s">
        <v>14</v>
      </c>
      <c r="B11" s="73">
        <v>5</v>
      </c>
      <c r="C11" s="70"/>
    </row>
    <row r="12" spans="1:16383" x14ac:dyDescent="0.3">
      <c r="A12" t="s">
        <v>76</v>
      </c>
      <c r="B12" s="71">
        <v>0.7</v>
      </c>
      <c r="C12" s="70"/>
    </row>
    <row r="13" spans="1:16383" x14ac:dyDescent="0.3">
      <c r="A13" t="s">
        <v>63</v>
      </c>
      <c r="B13" s="71">
        <v>0.4</v>
      </c>
      <c r="C13" s="70"/>
    </row>
    <row r="14" spans="1:16383" x14ac:dyDescent="0.3">
      <c r="A14" t="s">
        <v>62</v>
      </c>
      <c r="B14" s="46">
        <v>0.05</v>
      </c>
      <c r="C14" s="70"/>
    </row>
    <row r="15" spans="1:16383" x14ac:dyDescent="0.3">
      <c r="A15" t="s">
        <v>59</v>
      </c>
      <c r="B15" s="46">
        <f>0.017+1.3*0.08</f>
        <v>0.12100000000000001</v>
      </c>
      <c r="D15" s="6"/>
      <c r="E15" s="6"/>
    </row>
    <row r="16" spans="1:16383" x14ac:dyDescent="0.3">
      <c r="A16" t="s">
        <v>88</v>
      </c>
      <c r="B16" s="46">
        <v>3.5000000000000003E-2</v>
      </c>
      <c r="D16" s="17"/>
    </row>
    <row r="17" spans="1:13" x14ac:dyDescent="0.3">
      <c r="A17" t="s">
        <v>39</v>
      </c>
      <c r="B17" s="39">
        <v>9945</v>
      </c>
    </row>
    <row r="19" spans="1:13" x14ac:dyDescent="0.3">
      <c r="C19" s="3"/>
    </row>
    <row r="20" spans="1:13" x14ac:dyDescent="0.3">
      <c r="B20" s="7"/>
      <c r="C20" s="7"/>
      <c r="J20" s="8"/>
      <c r="K20" s="8"/>
      <c r="L20" s="8"/>
      <c r="M20" s="8"/>
    </row>
    <row r="21" spans="1:13" x14ac:dyDescent="0.3">
      <c r="A21" s="15"/>
      <c r="B21" s="30"/>
      <c r="C21" s="30"/>
      <c r="D21" s="30"/>
      <c r="E21" s="30"/>
      <c r="F21" s="30"/>
      <c r="G21" s="30"/>
      <c r="J21" s="8"/>
      <c r="K21" s="8"/>
      <c r="L21" s="8"/>
      <c r="M21" s="8"/>
    </row>
    <row r="22" spans="1:13" x14ac:dyDescent="0.3">
      <c r="A22" s="15"/>
      <c r="B22" s="30"/>
      <c r="C22" s="30"/>
      <c r="D22" s="30"/>
      <c r="E22" s="30"/>
      <c r="F22" s="30"/>
      <c r="G22" s="30"/>
      <c r="J22" s="8"/>
      <c r="K22" s="8"/>
      <c r="L22" s="8"/>
      <c r="M22" s="8"/>
    </row>
    <row r="23" spans="1:13" x14ac:dyDescent="0.3">
      <c r="A23" s="15"/>
      <c r="B23" s="30"/>
      <c r="C23" s="30"/>
      <c r="D23" s="30"/>
      <c r="E23" s="30"/>
      <c r="F23" s="30"/>
      <c r="G23" s="30"/>
      <c r="J23" s="8"/>
      <c r="K23" s="8"/>
      <c r="L23" s="8"/>
      <c r="M23" s="8"/>
    </row>
    <row r="24" spans="1:13" x14ac:dyDescent="0.3">
      <c r="J24" s="6"/>
      <c r="K24" s="6"/>
      <c r="L24" s="6"/>
      <c r="M24" s="6"/>
    </row>
    <row r="25" spans="1:13" x14ac:dyDescent="0.3">
      <c r="J25" s="3"/>
      <c r="K25" s="3"/>
      <c r="L25" s="3"/>
      <c r="M25" s="3"/>
    </row>
    <row r="26" spans="1:13" x14ac:dyDescent="0.3">
      <c r="J26" s="6"/>
      <c r="K26" s="6"/>
      <c r="L26" s="6"/>
      <c r="M26" s="6"/>
    </row>
  </sheetData>
  <pageMargins left="0.7" right="0.7" top="0.75" bottom="0.75" header="0.3" footer="0.3"/>
  <pageSetup scale="68"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31"/>
  <sheetViews>
    <sheetView zoomScaleNormal="100" zoomScalePageLayoutView="130" workbookViewId="0">
      <selection activeCell="C2" sqref="C2:I17"/>
    </sheetView>
  </sheetViews>
  <sheetFormatPr defaultColWidth="8.77734375" defaultRowHeight="14.4" x14ac:dyDescent="0.3"/>
  <cols>
    <col min="1" max="1" width="5.77734375" customWidth="1"/>
    <col min="2" max="2" width="25.77734375" customWidth="1"/>
    <col min="3" max="9" width="9.21875" customWidth="1"/>
  </cols>
  <sheetData>
    <row r="1" spans="1:9" ht="18" x14ac:dyDescent="0.35">
      <c r="A1" s="10" t="s">
        <v>89</v>
      </c>
    </row>
    <row r="2" spans="1:9" ht="15" customHeight="1" x14ac:dyDescent="0.3">
      <c r="C2" s="4">
        <v>2012</v>
      </c>
      <c r="D2" s="9">
        <v>2013</v>
      </c>
      <c r="E2" s="9">
        <v>2014</v>
      </c>
      <c r="F2" s="9">
        <v>2015</v>
      </c>
      <c r="G2" s="9">
        <v>2016</v>
      </c>
      <c r="H2" s="9">
        <v>2017</v>
      </c>
      <c r="I2" s="9">
        <v>2018</v>
      </c>
    </row>
    <row r="3" spans="1:9" ht="15" customHeight="1" x14ac:dyDescent="0.3">
      <c r="B3" t="s">
        <v>0</v>
      </c>
      <c r="C3" s="36">
        <v>148217.90000000002</v>
      </c>
      <c r="D3" s="39">
        <f>SUMIF('Exh 5 Stores IS'!$B$4:$B$97,'Teuer IS Pro Forma'!$B3,'Exh 5 Stores IS'!O$4:O$97)</f>
        <v>164986.89504199999</v>
      </c>
      <c r="E3" s="39">
        <f>SUMIF('Exh 5 Stores IS'!$B$4:$B$97,'Teuer IS Pro Forma'!$B3,'Exh 5 Stores IS'!P$4:P$97)</f>
        <v>181864.72825022571</v>
      </c>
      <c r="F3" s="39">
        <f>SUMIF('Exh 5 Stores IS'!$B$4:$B$97,'Teuer IS Pro Forma'!$B3,'Exh 5 Stores IS'!Q$4:Q$97)</f>
        <v>199509.03207381492</v>
      </c>
      <c r="G3" s="39">
        <f>SUMIF('Exh 5 Stores IS'!$B$4:$B$97,'Teuer IS Pro Forma'!$B3,'Exh 5 Stores IS'!R$4:R$97)</f>
        <v>217418.27227849956</v>
      </c>
      <c r="H3" s="39">
        <f>SUMIF('Exh 5 Stores IS'!$B$4:$B$97,'Teuer IS Pro Forma'!$B3,'Exh 5 Stores IS'!S$4:S$97)</f>
        <v>231340.15065322144</v>
      </c>
      <c r="I3" s="39">
        <f>SUMIF('Exh 5 Stores IS'!$B$4:$B$97,'Teuer IS Pro Forma'!$B3,'Exh 5 Stores IS'!T$4:T$97)</f>
        <v>242102.93139432801</v>
      </c>
    </row>
    <row r="4" spans="1:9" ht="15" customHeight="1" x14ac:dyDescent="0.3">
      <c r="B4" t="s">
        <v>1</v>
      </c>
      <c r="C4" s="36">
        <v>-61955.099999999991</v>
      </c>
      <c r="D4" s="39">
        <f>-SUMIF('Exh 5 Stores IS'!$B$4:$B$97,'Teuer IS Pro Forma'!$B4,'Exh 5 Stores IS'!O$4:O$97)</f>
        <v>-69791.543513954006</v>
      </c>
      <c r="E4" s="39">
        <f>-SUMIF('Exh 5 Stores IS'!$B$4:$B$97,'Teuer IS Pro Forma'!$B4,'Exh 5 Stores IS'!P$4:P$97)</f>
        <v>-76920.532198234054</v>
      </c>
      <c r="F4" s="39">
        <f>-SUMIF('Exh 5 Stores IS'!$B$4:$B$97,'Teuer IS Pro Forma'!$B4,'Exh 5 Stores IS'!Q$4:Q$97)</f>
        <v>-84014.366261589719</v>
      </c>
      <c r="G4" s="39">
        <f>-SUMIF('Exh 5 Stores IS'!$B$4:$B$97,'Teuer IS Pro Forma'!$B4,'Exh 5 Stores IS'!R$4:R$97)</f>
        <v>-90424.835264482608</v>
      </c>
      <c r="H4" s="39">
        <f>-SUMIF('Exh 5 Stores IS'!$B$4:$B$97,'Teuer IS Pro Forma'!$B4,'Exh 5 Stores IS'!S$4:S$97)</f>
        <v>-94807.609956404005</v>
      </c>
      <c r="I4" s="39">
        <f>-SUMIF('Exh 5 Stores IS'!$B$4:$B$97,'Teuer IS Pro Forma'!$B4,'Exh 5 Stores IS'!T$4:T$97)</f>
        <v>-97520.640237616506</v>
      </c>
    </row>
    <row r="5" spans="1:9" ht="15" customHeight="1" x14ac:dyDescent="0.3">
      <c r="B5" t="s">
        <v>17</v>
      </c>
      <c r="C5" s="36">
        <v>-21252.500000000004</v>
      </c>
      <c r="D5" s="39">
        <f>-SUMIF('Exh 5 Stores IS'!$B$4:$B$97,'Teuer IS Pro Forma'!$B5,'Exh 5 Stores IS'!O$4:O$97)</f>
        <v>-23290.792184846003</v>
      </c>
      <c r="E5" s="39">
        <f>-SUMIF('Exh 5 Stores IS'!$B$4:$B$97,'Teuer IS Pro Forma'!$B5,'Exh 5 Stores IS'!P$4:P$97)</f>
        <v>-25680.95188984945</v>
      </c>
      <c r="F5" s="39">
        <f>-SUMIF('Exh 5 Stores IS'!$B$4:$B$97,'Teuer IS Pro Forma'!$B5,'Exh 5 Stores IS'!Q$4:Q$97)</f>
        <v>-28120.173917167031</v>
      </c>
      <c r="G5" s="39">
        <f>-SUMIF('Exh 5 Stores IS'!$B$4:$B$97,'Teuer IS Pro Forma'!$B5,'Exh 5 Stores IS'!R$4:R$97)</f>
        <v>-30399.50406940428</v>
      </c>
      <c r="H5" s="39">
        <f>-SUMIF('Exh 5 Stores IS'!$B$4:$B$97,'Teuer IS Pro Forma'!$B5,'Exh 5 Stores IS'!S$4:S$97)</f>
        <v>-32084.607263779202</v>
      </c>
      <c r="I5" s="39">
        <f>-SUMIF('Exh 5 Stores IS'!$B$4:$B$97,'Teuer IS Pro Forma'!$B5,'Exh 5 Stores IS'!T$4:T$97)</f>
        <v>-33241.233394116643</v>
      </c>
    </row>
    <row r="6" spans="1:9" ht="15" customHeight="1" x14ac:dyDescent="0.3">
      <c r="B6" t="s">
        <v>15</v>
      </c>
      <c r="C6" s="36">
        <v>-10743.699999999999</v>
      </c>
      <c r="D6" s="39">
        <f>-SUMIF('Exh 5 Stores IS'!$B$4:$B$97,'Teuer IS Pro Forma'!$B6,'Exh 5 Stores IS'!O$4:O$97)</f>
        <v>-12234.767127497998</v>
      </c>
      <c r="E6" s="39">
        <f>-SUMIF('Exh 5 Stores IS'!$B$4:$B$97,'Teuer IS Pro Forma'!$B6,'Exh 5 Stores IS'!P$4:P$97)</f>
        <v>-13458.101304783911</v>
      </c>
      <c r="F6" s="39">
        <f>-SUMIF('Exh 5 Stores IS'!$B$4:$B$97,'Teuer IS Pro Forma'!$B6,'Exh 5 Stores IS'!Q$4:Q$97)</f>
        <v>-14727.955586266164</v>
      </c>
      <c r="G6" s="39">
        <f>-SUMIF('Exh 5 Stores IS'!$B$4:$B$97,'Teuer IS Pro Forma'!$B6,'Exh 5 Stores IS'!R$4:R$97)</f>
        <v>-15973.43694983688</v>
      </c>
      <c r="H6" s="39">
        <f>-SUMIF('Exh 5 Stores IS'!$B$4:$B$97,'Teuer IS Pro Forma'!$B6,'Exh 5 Stores IS'!S$4:S$97)</f>
        <v>-16851.579922173099</v>
      </c>
      <c r="I6" s="39">
        <f>-SUMIF('Exh 5 Stores IS'!$B$4:$B$97,'Teuer IS Pro Forma'!$B6,'Exh 5 Stores IS'!T$4:T$97)</f>
        <v>-17516.609634577566</v>
      </c>
    </row>
    <row r="7" spans="1:9" ht="15" customHeight="1" x14ac:dyDescent="0.3">
      <c r="B7" t="s">
        <v>16</v>
      </c>
      <c r="C7" s="36">
        <v>-1450.08</v>
      </c>
      <c r="D7" s="39">
        <f>-SUMIF('Exh 5 Stores IS'!$B$4:$B$97,'Teuer IS Pro Forma'!$B7,'Exh 5 Stores IS'!O$4:O$97)</f>
        <v>-1084.2</v>
      </c>
      <c r="E7" s="39">
        <f>-SUMIF('Exh 5 Stores IS'!$B$4:$B$97,'Teuer IS Pro Forma'!$B7,'Exh 5 Stores IS'!P$4:P$97)</f>
        <v>-1372.7356021552964</v>
      </c>
      <c r="F7" s="39">
        <f>-SUMIF('Exh 5 Stores IS'!$B$4:$B$97,'Teuer IS Pro Forma'!$B7,'Exh 5 Stores IS'!Q$4:Q$97)</f>
        <v>-1959.0221481414276</v>
      </c>
      <c r="G7" s="39">
        <f>-SUMIF('Exh 5 Stores IS'!$B$4:$B$97,'Teuer IS Pro Forma'!$B7,'Exh 5 Stores IS'!R$4:R$97)</f>
        <v>-2631.4200407611061</v>
      </c>
      <c r="H7" s="39">
        <f>-SUMIF('Exh 5 Stores IS'!$B$4:$B$97,'Teuer IS Pro Forma'!$B7,'Exh 5 Stores IS'!S$4:S$97)</f>
        <v>-2559.1777021600155</v>
      </c>
      <c r="I7" s="39">
        <f>-SUMIF('Exh 5 Stores IS'!$B$4:$B$97,'Teuer IS Pro Forma'!$B7,'Exh 5 Stores IS'!T$4:T$97)</f>
        <v>-2177.8538516526123</v>
      </c>
    </row>
    <row r="8" spans="1:9" ht="15" customHeight="1" x14ac:dyDescent="0.3">
      <c r="B8" t="s">
        <v>9</v>
      </c>
      <c r="C8" s="36">
        <v>-9320</v>
      </c>
      <c r="D8" s="39">
        <f>-SUMIF('Exh 5 Stores IS'!$B$4:$B$97,'Teuer IS Pro Forma'!$B8,'Exh 5 Stores IS'!O$4:O$97)</f>
        <v>-10560.970220794239</v>
      </c>
      <c r="E8" s="39">
        <f>-SUMIF('Exh 5 Stores IS'!$B$4:$B$97,'Teuer IS Pro Forma'!$B8,'Exh 5 Stores IS'!P$4:P$97)</f>
        <v>-11548.32114153216</v>
      </c>
      <c r="F8" s="39">
        <f>-SUMIF('Exh 5 Stores IS'!$B$4:$B$97,'Teuer IS Pro Forma'!$B8,'Exh 5 Stores IS'!Q$4:Q$97)</f>
        <v>-12306.803417283199</v>
      </c>
      <c r="G8" s="39">
        <f>-SUMIF('Exh 5 Stores IS'!$B$4:$B$97,'Teuer IS Pro Forma'!$B8,'Exh 5 Stores IS'!R$4:R$97)</f>
        <v>-13031.936505294849</v>
      </c>
      <c r="H8" s="39">
        <f>-SUMIF('Exh 5 Stores IS'!$B$4:$B$97,'Teuer IS Pro Forma'!$B8,'Exh 5 Stores IS'!S$4:S$97)</f>
        <v>-13229.7591787008</v>
      </c>
      <c r="I8" s="39">
        <f>-SUMIF('Exh 5 Stores IS'!$B$4:$B$97,'Teuer IS Pro Forma'!$B8,'Exh 5 Stores IS'!T$4:T$97)</f>
        <v>-13497.223507540481</v>
      </c>
    </row>
    <row r="9" spans="1:9" ht="15" customHeight="1" x14ac:dyDescent="0.3">
      <c r="B9" t="s">
        <v>19</v>
      </c>
      <c r="C9" s="36">
        <v>-7410.8943379691937</v>
      </c>
      <c r="D9" s="39">
        <f t="shared" ref="D9:I9" si="0">-D3*$C$15</f>
        <v>-8249.3447520999998</v>
      </c>
      <c r="E9" s="39">
        <f t="shared" si="0"/>
        <v>-9093.2364125112854</v>
      </c>
      <c r="F9" s="39">
        <f t="shared" si="0"/>
        <v>-9975.4516036907462</v>
      </c>
      <c r="G9" s="39">
        <f t="shared" si="0"/>
        <v>-10870.913613924979</v>
      </c>
      <c r="H9" s="39">
        <f t="shared" si="0"/>
        <v>-11567.007532661073</v>
      </c>
      <c r="I9" s="39">
        <f t="shared" si="0"/>
        <v>-12105.146569716402</v>
      </c>
    </row>
    <row r="10" spans="1:9" ht="15" customHeight="1" x14ac:dyDescent="0.3">
      <c r="B10" s="4" t="s">
        <v>5</v>
      </c>
      <c r="C10" s="11">
        <v>-14434.250264812337</v>
      </c>
      <c r="D10" s="35">
        <f>SUM(D3:D9)*$C$14*-1</f>
        <v>-15910.110897123099</v>
      </c>
      <c r="E10" s="35">
        <f t="shared" ref="E10:I10" si="1">SUM(E3:E9)*$C$14*-1</f>
        <v>-17516.339880463827</v>
      </c>
      <c r="F10" s="35">
        <f t="shared" si="1"/>
        <v>-19362.103655870651</v>
      </c>
      <c r="G10" s="35">
        <f t="shared" si="1"/>
        <v>-21634.490333917944</v>
      </c>
      <c r="H10" s="35">
        <f t="shared" si="1"/>
        <v>-24096.163638937302</v>
      </c>
      <c r="I10" s="35">
        <f t="shared" si="1"/>
        <v>-26417.689679643128</v>
      </c>
    </row>
    <row r="11" spans="1:9" ht="15" customHeight="1" x14ac:dyDescent="0.3">
      <c r="B11" t="s">
        <v>18</v>
      </c>
      <c r="C11" s="7">
        <v>21651.375397218504</v>
      </c>
      <c r="D11" s="39">
        <f t="shared" ref="D11:I11" si="2">SUM(D3:D10)</f>
        <v>23865.166345684644</v>
      </c>
      <c r="E11" s="39">
        <f t="shared" si="2"/>
        <v>26274.509820695741</v>
      </c>
      <c r="F11" s="39">
        <f t="shared" si="2"/>
        <v>29043.155483805971</v>
      </c>
      <c r="G11" s="39">
        <f t="shared" si="2"/>
        <v>32451.735500876908</v>
      </c>
      <c r="H11" s="39">
        <f t="shared" si="2"/>
        <v>36144.245458405952</v>
      </c>
      <c r="I11" s="39">
        <f t="shared" si="2"/>
        <v>39626.534519464694</v>
      </c>
    </row>
    <row r="12" spans="1:9" ht="15" customHeight="1" x14ac:dyDescent="0.3"/>
    <row r="13" spans="1:9" ht="15" customHeight="1" x14ac:dyDescent="0.3">
      <c r="A13" s="20" t="s">
        <v>6</v>
      </c>
      <c r="C13" s="38"/>
      <c r="D13" s="38"/>
      <c r="E13" s="38"/>
      <c r="F13" s="38"/>
      <c r="G13" s="38"/>
      <c r="H13" s="38"/>
      <c r="I13" s="38"/>
    </row>
    <row r="14" spans="1:9" ht="15" customHeight="1" x14ac:dyDescent="0.3">
      <c r="B14" t="s">
        <v>63</v>
      </c>
      <c r="C14" s="40">
        <f>'Exh 10 Forecast Parameters'!B13</f>
        <v>0.4</v>
      </c>
      <c r="D14" s="6"/>
    </row>
    <row r="15" spans="1:9" ht="15" customHeight="1" x14ac:dyDescent="0.3">
      <c r="B15" t="s">
        <v>62</v>
      </c>
      <c r="C15" s="40">
        <f>'Exh 10 Forecast Parameters'!B14</f>
        <v>0.05</v>
      </c>
      <c r="D15" s="6"/>
    </row>
    <row r="16" spans="1:9" x14ac:dyDescent="0.3">
      <c r="C16" s="32"/>
      <c r="D16" s="32"/>
      <c r="E16" s="32"/>
      <c r="F16" s="32"/>
      <c r="G16" s="32"/>
      <c r="H16" s="32"/>
      <c r="I16" s="32"/>
    </row>
    <row r="17" spans="3:9" x14ac:dyDescent="0.3">
      <c r="C17" s="74"/>
      <c r="D17" s="6"/>
      <c r="E17" s="6"/>
      <c r="F17" s="6"/>
      <c r="G17" s="6"/>
      <c r="H17" s="6"/>
      <c r="I17" s="6"/>
    </row>
    <row r="18" spans="3:9" x14ac:dyDescent="0.3">
      <c r="C18" s="74"/>
      <c r="D18" s="6"/>
      <c r="E18" s="6"/>
      <c r="F18" s="6"/>
      <c r="G18" s="6"/>
      <c r="H18" s="6"/>
      <c r="I18" s="6"/>
    </row>
    <row r="19" spans="3:9" x14ac:dyDescent="0.3">
      <c r="C19" s="74"/>
      <c r="D19" s="6"/>
      <c r="E19" s="6"/>
      <c r="F19" s="6"/>
      <c r="G19" s="6"/>
      <c r="H19" s="6"/>
      <c r="I19" s="6"/>
    </row>
    <row r="20" spans="3:9" x14ac:dyDescent="0.3">
      <c r="C20" s="74"/>
      <c r="D20" s="6"/>
      <c r="E20" s="6"/>
      <c r="F20" s="6"/>
      <c r="G20" s="6"/>
      <c r="H20" s="6"/>
      <c r="I20" s="6"/>
    </row>
    <row r="21" spans="3:9" x14ac:dyDescent="0.3">
      <c r="C21" s="74"/>
      <c r="D21" s="6"/>
      <c r="E21" s="6"/>
      <c r="F21" s="6"/>
      <c r="G21" s="6"/>
      <c r="H21" s="6"/>
      <c r="I21" s="6"/>
    </row>
    <row r="22" spans="3:9" x14ac:dyDescent="0.3">
      <c r="C22" s="74"/>
      <c r="D22" s="6"/>
      <c r="E22" s="6"/>
      <c r="F22" s="6"/>
      <c r="G22" s="6"/>
      <c r="H22" s="6"/>
      <c r="I22" s="6"/>
    </row>
    <row r="23" spans="3:9" x14ac:dyDescent="0.3">
      <c r="C23" s="74"/>
      <c r="D23" s="6"/>
      <c r="E23" s="6"/>
      <c r="F23" s="6"/>
      <c r="G23" s="6"/>
      <c r="H23" s="6"/>
      <c r="I23" s="6"/>
    </row>
    <row r="24" spans="3:9" x14ac:dyDescent="0.3">
      <c r="C24" s="74"/>
      <c r="D24" s="6"/>
      <c r="E24" s="6"/>
      <c r="F24" s="6"/>
      <c r="G24" s="6"/>
      <c r="H24" s="6"/>
      <c r="I24" s="6"/>
    </row>
    <row r="25" spans="3:9" x14ac:dyDescent="0.3">
      <c r="C25" s="74"/>
      <c r="D25" s="6"/>
      <c r="E25" s="6"/>
      <c r="F25" s="6"/>
      <c r="G25" s="6"/>
      <c r="H25" s="6"/>
      <c r="I25" s="6"/>
    </row>
    <row r="26" spans="3:9" x14ac:dyDescent="0.3">
      <c r="C26" s="3"/>
      <c r="D26" s="3"/>
      <c r="E26" s="6"/>
      <c r="F26" s="3"/>
      <c r="G26" s="3"/>
      <c r="H26" s="3"/>
      <c r="I26" s="3"/>
    </row>
    <row r="27" spans="3:9" x14ac:dyDescent="0.3">
      <c r="C27" s="6"/>
      <c r="D27" s="6"/>
      <c r="E27" s="6"/>
      <c r="F27" s="6"/>
      <c r="G27" s="6"/>
      <c r="H27" s="6"/>
      <c r="I27" s="6"/>
    </row>
    <row r="28" spans="3:9" x14ac:dyDescent="0.3">
      <c r="C28" s="74"/>
      <c r="D28" s="6"/>
      <c r="E28" s="6"/>
      <c r="F28" s="6"/>
      <c r="G28" s="6"/>
      <c r="H28" s="6"/>
      <c r="I28" s="6"/>
    </row>
    <row r="29" spans="3:9" x14ac:dyDescent="0.3">
      <c r="C29" s="74"/>
      <c r="D29" s="6"/>
      <c r="E29" s="6"/>
      <c r="F29" s="6"/>
      <c r="G29" s="6"/>
      <c r="H29" s="6"/>
      <c r="I29" s="6"/>
    </row>
    <row r="30" spans="3:9" x14ac:dyDescent="0.3">
      <c r="C30" s="74"/>
    </row>
    <row r="31" spans="3:9" x14ac:dyDescent="0.3">
      <c r="C31" s="74"/>
    </row>
  </sheetData>
  <pageMargins left="0.7" right="0.7" top="0.75" bottom="0.75" header="0.3" footer="0.3"/>
  <pageSetup fitToHeight="0"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309F-629C-49BC-8515-54234A4AC1B2}">
  <sheetPr codeName="Sheet13"/>
  <dimension ref="A1:I33"/>
  <sheetViews>
    <sheetView tabSelected="1" workbookViewId="0">
      <selection activeCell="L7" sqref="L7"/>
    </sheetView>
  </sheetViews>
  <sheetFormatPr defaultColWidth="8.77734375" defaultRowHeight="14.4" x14ac:dyDescent="0.3"/>
  <cols>
    <col min="1" max="1" width="5.77734375" customWidth="1"/>
    <col min="2" max="2" width="25.77734375" customWidth="1"/>
    <col min="3" max="9" width="9.21875" customWidth="1"/>
  </cols>
  <sheetData>
    <row r="1" spans="1:9" ht="18" x14ac:dyDescent="0.35">
      <c r="A1" s="10" t="s">
        <v>97</v>
      </c>
    </row>
    <row r="2" spans="1:9" ht="15" customHeight="1" x14ac:dyDescent="0.3">
      <c r="C2" s="4">
        <v>2012</v>
      </c>
      <c r="D2" s="9">
        <v>2013</v>
      </c>
      <c r="E2" s="9">
        <v>2014</v>
      </c>
      <c r="F2" s="9">
        <v>2015</v>
      </c>
      <c r="G2" s="9">
        <v>2016</v>
      </c>
      <c r="H2" s="9">
        <v>2017</v>
      </c>
      <c r="I2" s="9">
        <v>2018</v>
      </c>
    </row>
    <row r="3" spans="1:9" ht="15" customHeight="1" x14ac:dyDescent="0.3">
      <c r="A3" s="28" t="s">
        <v>24</v>
      </c>
      <c r="D3" s="80"/>
      <c r="E3" s="80"/>
      <c r="F3" s="80"/>
      <c r="G3" s="80"/>
      <c r="H3" s="80"/>
      <c r="I3" s="80"/>
    </row>
    <row r="4" spans="1:9" ht="15" customHeight="1" x14ac:dyDescent="0.3">
      <c r="B4" t="s">
        <v>10</v>
      </c>
      <c r="C4" s="36">
        <v>48199.959000000003</v>
      </c>
      <c r="D4" s="36">
        <v>53455.753993608007</v>
      </c>
      <c r="E4" s="36">
        <v>58924.171953073113</v>
      </c>
      <c r="F4" s="36">
        <v>64640.926391916044</v>
      </c>
      <c r="G4" s="36">
        <v>70443.520218233854</v>
      </c>
      <c r="H4" s="36">
        <v>74954.208811643737</v>
      </c>
      <c r="I4" s="36">
        <v>78441.349771762267</v>
      </c>
    </row>
    <row r="5" spans="1:9" ht="15" customHeight="1" x14ac:dyDescent="0.3">
      <c r="B5" t="s">
        <v>11</v>
      </c>
      <c r="C5" s="81">
        <v>33342.957000000002</v>
      </c>
      <c r="D5" s="81">
        <v>36614.173326359407</v>
      </c>
      <c r="E5" s="81">
        <v>39990.838340516719</v>
      </c>
      <c r="F5" s="81">
        <v>43042.221585893712</v>
      </c>
      <c r="G5" s="81">
        <v>45128.422339248311</v>
      </c>
      <c r="H5" s="81">
        <v>46419.824753105437</v>
      </c>
      <c r="I5" s="81">
        <v>47406.456857409466</v>
      </c>
    </row>
    <row r="6" spans="1:9" ht="15" customHeight="1" x14ac:dyDescent="0.3">
      <c r="A6" t="s">
        <v>26</v>
      </c>
      <c r="C6" s="36">
        <v>81542.915999999997</v>
      </c>
      <c r="D6" s="36">
        <v>90069.927319967421</v>
      </c>
      <c r="E6" s="36">
        <v>98915.010293589832</v>
      </c>
      <c r="F6" s="36">
        <v>107683.14797780976</v>
      </c>
      <c r="G6" s="36">
        <v>115571.94255748217</v>
      </c>
      <c r="H6" s="36">
        <v>121374.03356474917</v>
      </c>
      <c r="I6" s="36">
        <v>125847.80662917174</v>
      </c>
    </row>
    <row r="7" spans="1:9" ht="15" customHeight="1" x14ac:dyDescent="0.3">
      <c r="B7" t="s">
        <v>7</v>
      </c>
      <c r="C7" s="81">
        <f>'Exh 4 Teuer BS'!L7</f>
        <v>3920.12</v>
      </c>
      <c r="D7" s="81">
        <f>C7+'Exh 6 Stores BS'!O11+'Exh 6 Stores BS'!O18+'Exh 6 Stores BS'!O25+'Exh 6 Stores BS'!O32+'Exh 6 Stores BS'!O39+'Exh 6 Stores BS'!O46+'Exh 6 Stores BS'!O53+'Exh 6 Stores BS'!O60+'Exh 6 Stores BS'!O67+'Exh 6 Stores BS'!O74+'Exh 6 Stores BS'!O81+'Exh 6 Stores BS'!O88+'Teuer IS Pro Forma'!D7</f>
        <v>5202.5980107764817</v>
      </c>
      <c r="E7" s="81">
        <f>D7+'Exh 6 Stores BS'!P11+'Exh 6 Stores BS'!P18+'Exh 6 Stores BS'!P25+'Exh 6 Stores BS'!P32+'Exh 6 Stores BS'!P39+'Exh 6 Stores BS'!P46+'Exh 6 Stores BS'!P53+'Exh 6 Stores BS'!P60+'Exh 6 Stores BS'!P67+'Exh 6 Stores BS'!P74+'Exh 6 Stores BS'!P81+'Exh 6 Stores BS'!P88+'Teuer IS Pro Forma'!E7</f>
        <v>7155.2951385518409</v>
      </c>
      <c r="F7" s="81">
        <f>E7+'Exh 6 Stores BS'!Q11+'Exh 6 Stores BS'!Q18+'Exh 6 Stores BS'!Q25+'Exh 6 Stores BS'!Q32+'Exh 6 Stores BS'!Q39+'Exh 6 Stores BS'!Q46+'Exh 6 Stores BS'!Q53+'Exh 6 Stores BS'!Q60+'Exh 6 Stores BS'!Q67+'Exh 6 Stores BS'!Q74+'Exh 6 Stores BS'!Q81+'Exh 6 Stores BS'!Q88+'Teuer IS Pro Forma'!F7</f>
        <v>9310.2624535088053</v>
      </c>
      <c r="G7" s="81">
        <f>F7+'Exh 6 Stores BS'!R11+'Exh 6 Stores BS'!R18+'Exh 6 Stores BS'!R25+'Exh 6 Stores BS'!R32+'Exh 6 Stores BS'!R39+'Exh 6 Stores BS'!R46+'Exh 6 Stores BS'!R53+'Exh 6 Stores BS'!R60+'Exh 6 Stores BS'!R67+'Exh 6 Stores BS'!R74+'Exh 6 Stores BS'!R81+'Exh 6 Stores BS'!R88+'Teuer IS Pro Forma'!G7</f>
        <v>7440.0307197422462</v>
      </c>
      <c r="H7" s="81">
        <f>G7+'Exh 6 Stores BS'!S11+'Exh 6 Stores BS'!S18+'Exh 6 Stores BS'!S25+'Exh 6 Stores BS'!S32+'Exh 6 Stores BS'!S39+'Exh 6 Stores BS'!S46+'Exh 6 Stores BS'!S53+'Exh 6 Stores BS'!S60+'Exh 6 Stores BS'!S67+'Exh 6 Stores BS'!S74+'Exh 6 Stores BS'!S81+'Exh 6 Stores BS'!S88+'Teuer IS Pro Forma'!H7</f>
        <v>5202.8337650452131</v>
      </c>
      <c r="I7" s="81">
        <f>H7+'Exh 6 Stores BS'!T11+'Exh 6 Stores BS'!T18+'Exh 6 Stores BS'!T25+'Exh 6 Stores BS'!T32+'Exh 6 Stores BS'!T39+'Exh 6 Stores BS'!T46+'Exh 6 Stores BS'!T53+'Exh 6 Stores BS'!T60+'Exh 6 Stores BS'!T67+'Exh 6 Stores BS'!T74+'Exh 6 Stores BS'!T81+'Exh 6 Stores BS'!T88+'Teuer IS Pro Forma'!I7</f>
        <v>3641.3641976940971</v>
      </c>
    </row>
    <row r="8" spans="1:9" ht="15" customHeight="1" x14ac:dyDescent="0.3">
      <c r="A8" t="s">
        <v>27</v>
      </c>
      <c r="C8" s="37">
        <v>85463.035999999993</v>
      </c>
      <c r="D8" s="37">
        <v>95272.525330743898</v>
      </c>
      <c r="E8" s="37">
        <v>106070.30543214167</v>
      </c>
      <c r="F8" s="37">
        <v>116993.41043131857</v>
      </c>
      <c r="G8" s="37">
        <v>123011.97327722442</v>
      </c>
      <c r="H8" s="37">
        <v>126576.86732979439</v>
      </c>
      <c r="I8" s="7">
        <v>129489.17082686587</v>
      </c>
    </row>
    <row r="9" spans="1:9" ht="15" customHeight="1" x14ac:dyDescent="0.3">
      <c r="C9" s="37"/>
      <c r="D9" s="7"/>
      <c r="E9" s="37"/>
      <c r="F9" s="37"/>
      <c r="G9" s="37"/>
      <c r="H9" s="37"/>
      <c r="I9" s="37"/>
    </row>
    <row r="10" spans="1:9" ht="15" customHeight="1" x14ac:dyDescent="0.3">
      <c r="A10" s="20" t="s">
        <v>25</v>
      </c>
      <c r="C10" s="82"/>
      <c r="D10" s="82"/>
      <c r="E10" s="82"/>
      <c r="F10" s="82"/>
      <c r="G10" s="82"/>
      <c r="H10" s="82"/>
      <c r="I10" s="82"/>
    </row>
    <row r="11" spans="1:9" ht="15" customHeight="1" x14ac:dyDescent="0.3">
      <c r="B11" t="s">
        <v>12</v>
      </c>
      <c r="C11" s="36">
        <v>11363.546</v>
      </c>
      <c r="D11" s="36">
        <v>12538.046748312148</v>
      </c>
      <c r="E11" s="36">
        <v>13694.341700639126</v>
      </c>
      <c r="F11" s="36">
        <v>14739.248148110666</v>
      </c>
      <c r="G11" s="36">
        <v>15453.640422893855</v>
      </c>
      <c r="H11" s="36">
        <v>15895.864358731489</v>
      </c>
      <c r="I11" s="36">
        <v>16233.723671759963</v>
      </c>
    </row>
    <row r="12" spans="1:9" ht="15" customHeight="1" x14ac:dyDescent="0.3">
      <c r="B12" t="s">
        <v>13</v>
      </c>
      <c r="C12" s="81">
        <v>1682.2550000000001</v>
      </c>
      <c r="D12" s="81">
        <v>1878.6745533424016</v>
      </c>
      <c r="E12" s="81">
        <v>2056.7102161647936</v>
      </c>
      <c r="F12" s="81">
        <v>2225.9011689235754</v>
      </c>
      <c r="G12" s="81">
        <v>2348.9369849257105</v>
      </c>
      <c r="H12" s="81">
        <v>2436.3764653773223</v>
      </c>
      <c r="I12" s="81">
        <v>2504.6359527568952</v>
      </c>
    </row>
    <row r="13" spans="1:9" ht="15" customHeight="1" x14ac:dyDescent="0.3">
      <c r="A13" t="s">
        <v>28</v>
      </c>
      <c r="C13" s="36">
        <v>13045.800999999999</v>
      </c>
      <c r="D13" s="83">
        <v>14416.72130165455</v>
      </c>
      <c r="E13" s="83">
        <v>15751.051916803921</v>
      </c>
      <c r="F13" s="83">
        <v>16965.14931703424</v>
      </c>
      <c r="G13" s="83">
        <v>17802.577407819565</v>
      </c>
      <c r="H13" s="83">
        <v>18332.240824108812</v>
      </c>
      <c r="I13" s="83">
        <v>18738.359624516859</v>
      </c>
    </row>
    <row r="14" spans="1:9" ht="15" customHeight="1" x14ac:dyDescent="0.3">
      <c r="B14" t="s">
        <v>29</v>
      </c>
      <c r="C14" s="36">
        <v>0</v>
      </c>
      <c r="D14">
        <v>0</v>
      </c>
      <c r="E14">
        <v>0</v>
      </c>
      <c r="F14">
        <v>0</v>
      </c>
      <c r="G14">
        <v>0</v>
      </c>
      <c r="H14">
        <v>0</v>
      </c>
      <c r="I14">
        <v>0</v>
      </c>
    </row>
    <row r="15" spans="1:9" ht="15" customHeight="1" x14ac:dyDescent="0.3">
      <c r="B15" t="s">
        <v>30</v>
      </c>
      <c r="C15" s="81">
        <v>72417.235000000001</v>
      </c>
      <c r="D15" s="84">
        <v>80855.804029089355</v>
      </c>
      <c r="E15" s="84">
        <v>90319.253515337768</v>
      </c>
      <c r="F15" s="84">
        <v>100028.26111428434</v>
      </c>
      <c r="G15" s="84">
        <v>105209.39586940488</v>
      </c>
      <c r="H15" s="84">
        <v>108244.62650568562</v>
      </c>
      <c r="I15" s="84">
        <v>110750.81120234901</v>
      </c>
    </row>
    <row r="16" spans="1:9" ht="15" customHeight="1" x14ac:dyDescent="0.3">
      <c r="A16" t="s">
        <v>31</v>
      </c>
      <c r="C16" s="37">
        <v>85463.035999999993</v>
      </c>
      <c r="D16" s="7">
        <v>95272.525330743898</v>
      </c>
      <c r="E16" s="7">
        <v>106070.30543214169</v>
      </c>
      <c r="F16" s="7">
        <v>116993.41043131858</v>
      </c>
      <c r="G16" s="7">
        <v>123011.97327722445</v>
      </c>
      <c r="H16" s="7">
        <v>126576.86732979443</v>
      </c>
      <c r="I16" s="7">
        <v>129489.17082686587</v>
      </c>
    </row>
    <row r="17" spans="1:9" ht="15" customHeight="1" x14ac:dyDescent="0.3">
      <c r="C17" s="7"/>
      <c r="D17" s="7"/>
      <c r="E17" s="7"/>
      <c r="F17" s="7"/>
      <c r="G17" s="7"/>
      <c r="H17" s="7"/>
      <c r="I17" s="7"/>
    </row>
    <row r="18" spans="1:9" ht="15" customHeight="1" x14ac:dyDescent="0.3">
      <c r="B18" s="80" t="s">
        <v>98</v>
      </c>
      <c r="C18" s="7" t="s">
        <v>99</v>
      </c>
      <c r="D18" s="7" t="s">
        <v>99</v>
      </c>
      <c r="E18" s="7" t="s">
        <v>99</v>
      </c>
      <c r="F18" s="7" t="s">
        <v>99</v>
      </c>
      <c r="G18" s="7" t="s">
        <v>99</v>
      </c>
      <c r="H18" s="7" t="s">
        <v>99</v>
      </c>
      <c r="I18" s="7" t="s">
        <v>99</v>
      </c>
    </row>
    <row r="19" spans="1:9" ht="15" customHeight="1" x14ac:dyDescent="0.3">
      <c r="C19" s="6"/>
      <c r="D19" s="6"/>
      <c r="E19" s="6"/>
      <c r="F19" s="6"/>
      <c r="G19" s="6"/>
      <c r="H19" s="6"/>
      <c r="I19" s="6"/>
    </row>
    <row r="20" spans="1:9" ht="15" customHeight="1" x14ac:dyDescent="0.3">
      <c r="A20" s="20"/>
      <c r="C20" s="8"/>
      <c r="D20" s="8"/>
      <c r="E20" s="8"/>
      <c r="F20" s="8"/>
      <c r="G20" s="8"/>
      <c r="H20" s="8"/>
      <c r="I20" s="8"/>
    </row>
    <row r="21" spans="1:9" ht="15" customHeight="1" x14ac:dyDescent="0.3">
      <c r="C21" s="6"/>
      <c r="D21" s="38"/>
      <c r="E21" s="6"/>
      <c r="F21" s="6"/>
      <c r="G21" s="6"/>
      <c r="H21" s="6"/>
      <c r="I21" s="6"/>
    </row>
    <row r="22" spans="1:9" ht="15" customHeight="1" x14ac:dyDescent="0.3">
      <c r="B22" s="20"/>
      <c r="C22" s="6"/>
      <c r="D22" s="6"/>
      <c r="E22" s="6"/>
      <c r="F22" s="6"/>
      <c r="G22" s="6"/>
      <c r="H22" s="6"/>
      <c r="I22" s="6"/>
    </row>
    <row r="23" spans="1:9" ht="15" customHeight="1" x14ac:dyDescent="0.3">
      <c r="C23" s="6"/>
    </row>
    <row r="24" spans="1:9" ht="15" customHeight="1" x14ac:dyDescent="0.3">
      <c r="C24" s="6"/>
    </row>
    <row r="25" spans="1:9" ht="15" customHeight="1" x14ac:dyDescent="0.3">
      <c r="C25" s="6"/>
    </row>
    <row r="26" spans="1:9" ht="15" customHeight="1" x14ac:dyDescent="0.3">
      <c r="C26" s="6"/>
    </row>
    <row r="27" spans="1:9" ht="15" customHeight="1" x14ac:dyDescent="0.3">
      <c r="C27" s="6"/>
    </row>
    <row r="28" spans="1:9" ht="15" customHeight="1" x14ac:dyDescent="0.3">
      <c r="C28" s="6"/>
    </row>
    <row r="29" spans="1:9" x14ac:dyDescent="0.3">
      <c r="C29" s="6"/>
    </row>
    <row r="30" spans="1:9" x14ac:dyDescent="0.3">
      <c r="C30" s="6"/>
    </row>
    <row r="31" spans="1:9" x14ac:dyDescent="0.3">
      <c r="C31" s="6"/>
    </row>
    <row r="32" spans="1:9" x14ac:dyDescent="0.3">
      <c r="C32" s="6"/>
    </row>
    <row r="33" spans="3:3" x14ac:dyDescent="0.3">
      <c r="C33"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23"/>
  <sheetViews>
    <sheetView zoomScaleNormal="100" zoomScalePageLayoutView="110" workbookViewId="0">
      <selection activeCell="B14" sqref="B14"/>
    </sheetView>
  </sheetViews>
  <sheetFormatPr defaultColWidth="8.77734375" defaultRowHeight="14.4" x14ac:dyDescent="0.3"/>
  <cols>
    <col min="1" max="1" width="5.77734375" customWidth="1"/>
    <col min="2" max="2" width="25.77734375" customWidth="1"/>
    <col min="3" max="9" width="9.77734375" customWidth="1"/>
  </cols>
  <sheetData>
    <row r="1" spans="1:9" ht="18" x14ac:dyDescent="0.35">
      <c r="A1" s="10" t="s">
        <v>90</v>
      </c>
    </row>
    <row r="2" spans="1:9" x14ac:dyDescent="0.3">
      <c r="C2" s="4">
        <v>2012</v>
      </c>
      <c r="D2" s="4">
        <v>2013</v>
      </c>
      <c r="E2" s="4">
        <f>1+D2</f>
        <v>2014</v>
      </c>
      <c r="F2" s="4">
        <f t="shared" ref="F2:I2" si="0">1+E2</f>
        <v>2015</v>
      </c>
      <c r="G2" s="4">
        <f t="shared" si="0"/>
        <v>2016</v>
      </c>
      <c r="H2" s="4">
        <f t="shared" si="0"/>
        <v>2017</v>
      </c>
      <c r="I2" s="4">
        <f t="shared" si="0"/>
        <v>2018</v>
      </c>
    </row>
    <row r="3" spans="1:9" x14ac:dyDescent="0.3">
      <c r="B3" t="s">
        <v>0</v>
      </c>
      <c r="C3" s="7">
        <v>148217.90000000002</v>
      </c>
      <c r="D3" s="7">
        <f>'Teuer IS Pro Forma'!D3</f>
        <v>164986.89504199999</v>
      </c>
      <c r="E3" s="7">
        <f>'Teuer IS Pro Forma'!E3</f>
        <v>181864.72825022571</v>
      </c>
      <c r="F3" s="7">
        <f>'Teuer IS Pro Forma'!F3</f>
        <v>199509.03207381492</v>
      </c>
      <c r="G3" s="7">
        <f>'Teuer IS Pro Forma'!G3</f>
        <v>217418.27227849956</v>
      </c>
      <c r="H3" s="7">
        <f>'Teuer IS Pro Forma'!H3</f>
        <v>231340.15065322144</v>
      </c>
      <c r="I3" s="7">
        <f>'Teuer IS Pro Forma'!I3</f>
        <v>242102.93139432801</v>
      </c>
    </row>
    <row r="4" spans="1:9" x14ac:dyDescent="0.3">
      <c r="A4" t="s">
        <v>101</v>
      </c>
      <c r="B4" s="13" t="s">
        <v>100</v>
      </c>
      <c r="C4" s="7">
        <v>-112132.3</v>
      </c>
      <c r="D4" s="7">
        <f>SUM('Teuer IS Pro Forma'!D4:D9)</f>
        <v>-125211.61779919226</v>
      </c>
      <c r="E4" s="7">
        <f>SUM('Teuer IS Pro Forma'!E4:E9)</f>
        <v>-138073.87854906614</v>
      </c>
      <c r="F4" s="7">
        <f>SUM('Teuer IS Pro Forma'!F4:F9)</f>
        <v>-151103.77293413831</v>
      </c>
      <c r="G4" s="7">
        <f>SUM('Teuer IS Pro Forma'!G4:G9)</f>
        <v>-163332.04644370472</v>
      </c>
      <c r="H4" s="7">
        <f>SUM('Teuer IS Pro Forma'!H4:H9)</f>
        <v>-171099.74155587819</v>
      </c>
      <c r="I4" s="7">
        <f>SUM('Teuer IS Pro Forma'!I4:I9)</f>
        <v>-176058.70719522019</v>
      </c>
    </row>
    <row r="5" spans="1:9" x14ac:dyDescent="0.3">
      <c r="A5" t="s">
        <v>101</v>
      </c>
      <c r="B5" s="13" t="s">
        <v>5</v>
      </c>
      <c r="C5" s="11">
        <v>-14434.3</v>
      </c>
      <c r="D5" s="11">
        <f>'Teuer IS Pro Forma'!D10</f>
        <v>-15910.110897123099</v>
      </c>
      <c r="E5" s="11">
        <f>'Teuer IS Pro Forma'!E10</f>
        <v>-17516.339880463827</v>
      </c>
      <c r="F5" s="11">
        <f>'Teuer IS Pro Forma'!F10</f>
        <v>-19362.103655870651</v>
      </c>
      <c r="G5" s="11">
        <f>'Teuer IS Pro Forma'!G10</f>
        <v>-21634.490333917944</v>
      </c>
      <c r="H5" s="11">
        <f>'Teuer IS Pro Forma'!H10</f>
        <v>-24096.163638937302</v>
      </c>
      <c r="I5" s="11">
        <f>'Teuer IS Pro Forma'!I10</f>
        <v>-26417.689679643128</v>
      </c>
    </row>
    <row r="6" spans="1:9" x14ac:dyDescent="0.3">
      <c r="B6" t="s">
        <v>18</v>
      </c>
      <c r="C6" s="7">
        <v>21651.4</v>
      </c>
      <c r="D6" s="7">
        <f>SUM(D3:D5)</f>
        <v>23865.166345684629</v>
      </c>
      <c r="E6" s="7">
        <f t="shared" ref="E6:I6" si="1">SUM(E3:E5)</f>
        <v>26274.509820695748</v>
      </c>
      <c r="F6" s="7">
        <f t="shared" si="1"/>
        <v>29043.155483805956</v>
      </c>
      <c r="G6" s="7">
        <f t="shared" si="1"/>
        <v>32451.735500876894</v>
      </c>
      <c r="H6" s="7">
        <f t="shared" si="1"/>
        <v>36144.245458405945</v>
      </c>
      <c r="I6" s="7">
        <f t="shared" si="1"/>
        <v>39626.534519464694</v>
      </c>
    </row>
    <row r="7" spans="1:9" x14ac:dyDescent="0.3">
      <c r="B7" s="13" t="s">
        <v>72</v>
      </c>
      <c r="C7" s="7">
        <v>-2229</v>
      </c>
      <c r="D7" s="7">
        <f>-1*('Teuer BS Pro Forma'!D7-'Teuer BS Pro Forma'!C7-'Teuer IS Pro Forma'!D7)</f>
        <v>-2366.6780107764816</v>
      </c>
      <c r="E7" s="7">
        <f>-1*('Teuer BS Pro Forma'!E7-'Teuer BS Pro Forma'!D7-'Teuer IS Pro Forma'!E7)</f>
        <v>-3325.4327299306556</v>
      </c>
      <c r="F7" s="7">
        <f>-1*('Teuer BS Pro Forma'!F7-'Teuer BS Pro Forma'!E7-'Teuer IS Pro Forma'!F7)</f>
        <v>-4113.9894630983918</v>
      </c>
      <c r="G7" s="7">
        <f>-1*('Teuer BS Pro Forma'!G7-'Teuer BS Pro Forma'!F7-'Teuer IS Pro Forma'!G7)</f>
        <v>-761.18830699454702</v>
      </c>
      <c r="H7" s="7">
        <f>-1*('Teuer BS Pro Forma'!H7-'Teuer BS Pro Forma'!G7-'Teuer IS Pro Forma'!H7)</f>
        <v>-321.98074746298244</v>
      </c>
      <c r="I7" s="7">
        <f>-1*('Teuer BS Pro Forma'!I7-'Teuer BS Pro Forma'!H7-'Teuer IS Pro Forma'!I7)</f>
        <v>-616.38428430149634</v>
      </c>
    </row>
    <row r="8" spans="1:9" x14ac:dyDescent="0.3">
      <c r="B8" s="13" t="s">
        <v>42</v>
      </c>
      <c r="C8" s="7">
        <v>1450.1</v>
      </c>
      <c r="D8" s="7">
        <v>1084.2</v>
      </c>
      <c r="E8" s="7">
        <v>1372.7356021552964</v>
      </c>
      <c r="F8" s="7">
        <v>1959.0221481414276</v>
      </c>
      <c r="G8" s="7">
        <v>2631.4200407611061</v>
      </c>
      <c r="H8" s="7">
        <v>2559.1777021600155</v>
      </c>
      <c r="I8" s="7">
        <v>2177.8538516526123</v>
      </c>
    </row>
    <row r="9" spans="1:9" x14ac:dyDescent="0.3">
      <c r="B9" s="13" t="s">
        <v>43</v>
      </c>
      <c r="C9" s="11">
        <v>-8364.7999999999993</v>
      </c>
      <c r="D9" s="11">
        <v>-7156.0910183128726</v>
      </c>
      <c r="E9" s="11">
        <v>-7510.7523584730516</v>
      </c>
      <c r="F9" s="11">
        <v>-7554.0402839895978</v>
      </c>
      <c r="G9" s="11">
        <v>-7051.3664888870844</v>
      </c>
      <c r="H9" s="11">
        <v>-5272.4275909777643</v>
      </c>
      <c r="I9" s="11">
        <v>-4067.6542640145199</v>
      </c>
    </row>
    <row r="10" spans="1:9" x14ac:dyDescent="0.3">
      <c r="B10" t="s">
        <v>94</v>
      </c>
      <c r="C10" s="7">
        <v>12508.1</v>
      </c>
      <c r="D10" s="7">
        <f>SUM(D6:D9)</f>
        <v>15426.597316595275</v>
      </c>
      <c r="E10" s="7">
        <f t="shared" ref="E10:I10" si="2">SUM(E6:E9)</f>
        <v>16811.060334447335</v>
      </c>
      <c r="F10" s="7">
        <f t="shared" si="2"/>
        <v>19334.147884859394</v>
      </c>
      <c r="G10" s="7">
        <f t="shared" si="2"/>
        <v>27270.600745756368</v>
      </c>
      <c r="H10" s="7">
        <f t="shared" si="2"/>
        <v>33109.014822125209</v>
      </c>
      <c r="I10" s="7">
        <f t="shared" si="2"/>
        <v>37120.34982280129</v>
      </c>
    </row>
    <row r="11" spans="1:9" x14ac:dyDescent="0.3">
      <c r="B11" t="s">
        <v>91</v>
      </c>
      <c r="D11" s="75"/>
      <c r="E11" s="75"/>
      <c r="F11" s="75"/>
      <c r="G11" s="75"/>
      <c r="H11" s="7"/>
      <c r="I11" s="7">
        <f>(I10*(1+C19))/(C18-C19)</f>
        <v>446739.09379766666</v>
      </c>
    </row>
    <row r="12" spans="1:9" x14ac:dyDescent="0.3">
      <c r="C12" s="7"/>
      <c r="D12" s="7"/>
      <c r="E12" s="7"/>
      <c r="F12" s="7"/>
      <c r="G12" s="7"/>
      <c r="H12" s="7"/>
      <c r="I12" s="7"/>
    </row>
    <row r="13" spans="1:9" x14ac:dyDescent="0.3">
      <c r="B13" t="s">
        <v>95</v>
      </c>
      <c r="C13" s="7">
        <f>NPV(C18,D10:H10,I10+I11)</f>
        <v>320665.70949834766</v>
      </c>
      <c r="E13" s="7"/>
      <c r="F13" s="7"/>
      <c r="G13" s="7"/>
      <c r="H13" s="7"/>
      <c r="I13" s="7"/>
    </row>
    <row r="14" spans="1:9" x14ac:dyDescent="0.3">
      <c r="B14" t="s">
        <v>96</v>
      </c>
      <c r="C14" s="7">
        <f>C13</f>
        <v>320665.70949834766</v>
      </c>
      <c r="E14" s="7"/>
      <c r="F14" s="7"/>
      <c r="G14" s="7"/>
      <c r="H14" s="7"/>
      <c r="I14" s="7"/>
    </row>
    <row r="15" spans="1:9" x14ac:dyDescent="0.3">
      <c r="B15" t="s">
        <v>37</v>
      </c>
      <c r="C15" s="29">
        <f>C14/C21</f>
        <v>32.243912468411025</v>
      </c>
      <c r="D15" s="29"/>
      <c r="E15" s="29"/>
      <c r="F15" s="29"/>
      <c r="G15" s="29"/>
      <c r="H15" s="29"/>
      <c r="I15" s="29"/>
    </row>
    <row r="16" spans="1:9" x14ac:dyDescent="0.3">
      <c r="C16" s="8"/>
      <c r="D16" s="7"/>
      <c r="E16" s="8"/>
      <c r="F16" s="8"/>
      <c r="G16" s="8"/>
      <c r="H16" s="8"/>
      <c r="I16" s="8"/>
    </row>
    <row r="17" spans="1:9" x14ac:dyDescent="0.3">
      <c r="A17" s="20" t="s">
        <v>6</v>
      </c>
      <c r="D17" s="75"/>
    </row>
    <row r="18" spans="1:9" x14ac:dyDescent="0.3">
      <c r="A18" s="20"/>
      <c r="B18" t="s">
        <v>59</v>
      </c>
      <c r="C18" s="46">
        <f>'Exh 10 Forecast Parameters'!B15</f>
        <v>0.12100000000000001</v>
      </c>
      <c r="D18" s="6"/>
    </row>
    <row r="19" spans="1:9" x14ac:dyDescent="0.3">
      <c r="A19" s="20"/>
      <c r="B19" t="s">
        <v>88</v>
      </c>
      <c r="C19" s="46">
        <f>'Exh 10 Forecast Parameters'!B16</f>
        <v>3.5000000000000003E-2</v>
      </c>
      <c r="D19" s="27"/>
      <c r="E19" s="27"/>
      <c r="F19" s="27"/>
      <c r="G19" s="27"/>
      <c r="H19" s="27"/>
      <c r="I19" s="27"/>
    </row>
    <row r="20" spans="1:9" x14ac:dyDescent="0.3">
      <c r="A20" s="20"/>
      <c r="B20" t="s">
        <v>38</v>
      </c>
      <c r="C20" s="76">
        <v>187</v>
      </c>
    </row>
    <row r="21" spans="1:9" x14ac:dyDescent="0.3">
      <c r="A21" s="20"/>
      <c r="B21" t="s">
        <v>39</v>
      </c>
      <c r="C21" s="76">
        <f>'Exh 10 Forecast Parameters'!B17</f>
        <v>9945</v>
      </c>
    </row>
    <row r="22" spans="1:9" x14ac:dyDescent="0.3">
      <c r="C22" s="7"/>
    </row>
    <row r="23" spans="1:9" x14ac:dyDescent="0.3">
      <c r="C23" s="7"/>
    </row>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32"/>
  <sheetViews>
    <sheetView workbookViewId="0">
      <selection activeCell="F5" sqref="F5"/>
    </sheetView>
  </sheetViews>
  <sheetFormatPr defaultColWidth="8.77734375" defaultRowHeight="14.4" x14ac:dyDescent="0.3"/>
  <sheetData>
    <row r="1" spans="1:7" ht="18" x14ac:dyDescent="0.35">
      <c r="A1" s="10" t="s">
        <v>71</v>
      </c>
    </row>
    <row r="2" spans="1:7" ht="18" x14ac:dyDescent="0.35">
      <c r="A2" s="10"/>
    </row>
    <row r="3" spans="1:7" x14ac:dyDescent="0.3">
      <c r="C3" s="41" t="s">
        <v>44</v>
      </c>
      <c r="D3" s="41" t="s">
        <v>33</v>
      </c>
      <c r="E3" s="41" t="s">
        <v>32</v>
      </c>
      <c r="F3" s="41" t="s">
        <v>33</v>
      </c>
    </row>
    <row r="4" spans="1:7" x14ac:dyDescent="0.3">
      <c r="C4" s="41" t="s">
        <v>45</v>
      </c>
      <c r="D4" s="41" t="s">
        <v>44</v>
      </c>
      <c r="E4" s="41" t="s">
        <v>45</v>
      </c>
      <c r="F4" s="41" t="s">
        <v>32</v>
      </c>
      <c r="G4" t="s">
        <v>35</v>
      </c>
    </row>
    <row r="5" spans="1:7" x14ac:dyDescent="0.3">
      <c r="B5">
        <v>2003</v>
      </c>
      <c r="C5">
        <f>VLOOKUP($B5,'Exh 5 Stores IS'!$A$3:$D$87,3,FALSE)</f>
        <v>1</v>
      </c>
      <c r="D5">
        <f>C5</f>
        <v>1</v>
      </c>
      <c r="E5" s="7">
        <f>VLOOKUP($B5,'Exh 5 Stores IS'!$A$3:$D$87,4,FALSE)</f>
        <v>17200</v>
      </c>
      <c r="F5" s="7">
        <f>C5*E5</f>
        <v>17200</v>
      </c>
    </row>
    <row r="6" spans="1:7" x14ac:dyDescent="0.3">
      <c r="B6">
        <v>2004</v>
      </c>
      <c r="C6">
        <f>VLOOKUP($B6,'Exh 5 Stores IS'!$A$3:$D$87,3,FALSE)</f>
        <v>3</v>
      </c>
      <c r="D6">
        <f>D5+C6</f>
        <v>4</v>
      </c>
      <c r="E6" s="7">
        <f>VLOOKUP($B6,'Exh 5 Stores IS'!$A$3:$D$87,4,FALSE)</f>
        <v>17600</v>
      </c>
      <c r="F6" s="7">
        <f>F5+C6*E6</f>
        <v>70000</v>
      </c>
      <c r="G6" s="8"/>
    </row>
    <row r="7" spans="1:7" x14ac:dyDescent="0.3">
      <c r="B7">
        <v>2005</v>
      </c>
      <c r="C7">
        <f>VLOOKUP($B7,'Exh 5 Stores IS'!$A$3:$D$87,3,FALSE)</f>
        <v>4</v>
      </c>
      <c r="D7">
        <f t="shared" ref="D7:D17" si="0">D6+C7</f>
        <v>8</v>
      </c>
      <c r="E7" s="7">
        <f>VLOOKUP($B7,'Exh 5 Stores IS'!$A$3:$D$87,4,FALSE)</f>
        <v>18500</v>
      </c>
      <c r="F7" s="7">
        <f t="shared" ref="F7:F17" si="1">F6+C7*E7</f>
        <v>144000</v>
      </c>
      <c r="G7" s="8"/>
    </row>
    <row r="8" spans="1:7" x14ac:dyDescent="0.3">
      <c r="B8">
        <v>2006</v>
      </c>
      <c r="C8">
        <f>VLOOKUP($B8,'Exh 5 Stores IS'!$A$3:$D$87,3,FALSE)</f>
        <v>5</v>
      </c>
      <c r="D8">
        <f t="shared" si="0"/>
        <v>13</v>
      </c>
      <c r="E8" s="7">
        <f>VLOOKUP($B8,'Exh 5 Stores IS'!$A$3:$D$87,4,FALSE)</f>
        <v>21100</v>
      </c>
      <c r="F8" s="7">
        <f t="shared" si="1"/>
        <v>249500</v>
      </c>
      <c r="G8" s="8"/>
    </row>
    <row r="9" spans="1:7" x14ac:dyDescent="0.3">
      <c r="B9">
        <v>2007</v>
      </c>
      <c r="C9">
        <f>VLOOKUP($B9,'Exh 5 Stores IS'!$A$3:$D$87,3,FALSE)</f>
        <v>6</v>
      </c>
      <c r="D9">
        <f t="shared" si="0"/>
        <v>19</v>
      </c>
      <c r="E9" s="7">
        <f>VLOOKUP($B9,'Exh 5 Stores IS'!$A$3:$D$87,4,FALSE)</f>
        <v>22100</v>
      </c>
      <c r="F9" s="7">
        <f t="shared" si="1"/>
        <v>382100</v>
      </c>
      <c r="G9" s="8"/>
    </row>
    <row r="10" spans="1:7" x14ac:dyDescent="0.3">
      <c r="B10">
        <v>2008</v>
      </c>
      <c r="C10">
        <f>VLOOKUP($B10,'Exh 5 Stores IS'!$A$3:$D$87,3,FALSE)</f>
        <v>2</v>
      </c>
      <c r="D10">
        <f t="shared" si="0"/>
        <v>21</v>
      </c>
      <c r="E10" s="7">
        <f>VLOOKUP($B10,'Exh 5 Stores IS'!$A$3:$D$87,4,FALSE)</f>
        <v>15500</v>
      </c>
      <c r="F10" s="7">
        <f t="shared" si="1"/>
        <v>413100</v>
      </c>
      <c r="G10" s="8"/>
    </row>
    <row r="11" spans="1:7" x14ac:dyDescent="0.3">
      <c r="B11">
        <v>2009</v>
      </c>
      <c r="C11">
        <f>VLOOKUP($B11,'Exh 5 Stores IS'!$A$3:$D$87,3,FALSE)</f>
        <v>1</v>
      </c>
      <c r="D11">
        <f t="shared" si="0"/>
        <v>22</v>
      </c>
      <c r="E11" s="7">
        <f>VLOOKUP($B11,'Exh 5 Stores IS'!$A$3:$D$87,4,FALSE)</f>
        <v>14500</v>
      </c>
      <c r="F11" s="7">
        <f t="shared" si="1"/>
        <v>427600</v>
      </c>
      <c r="G11" s="8"/>
    </row>
    <row r="12" spans="1:7" x14ac:dyDescent="0.3">
      <c r="B12">
        <v>2010</v>
      </c>
      <c r="C12">
        <f>VLOOKUP($B12,'Exh 5 Stores IS'!$A$3:$D$87,3,FALSE)</f>
        <v>2</v>
      </c>
      <c r="D12">
        <f t="shared" si="0"/>
        <v>24</v>
      </c>
      <c r="E12" s="7">
        <f>VLOOKUP($B12,'Exh 5 Stores IS'!$A$3:$D$87,4,FALSE)</f>
        <v>14700</v>
      </c>
      <c r="F12" s="7">
        <f t="shared" si="1"/>
        <v>457000</v>
      </c>
      <c r="G12" s="8"/>
    </row>
    <row r="13" spans="1:7" x14ac:dyDescent="0.3">
      <c r="B13">
        <v>2011</v>
      </c>
      <c r="C13">
        <f>VLOOKUP($B13,'Exh 5 Stores IS'!$A$3:$D$87,3,FALSE)</f>
        <v>2</v>
      </c>
      <c r="D13">
        <f t="shared" si="0"/>
        <v>26</v>
      </c>
      <c r="E13" s="7">
        <f>VLOOKUP($B13,'Exh 5 Stores IS'!$A$3:$D$87,4,FALSE)</f>
        <v>15400</v>
      </c>
      <c r="F13" s="7">
        <f t="shared" si="1"/>
        <v>487800</v>
      </c>
      <c r="G13" s="8"/>
    </row>
    <row r="14" spans="1:7" x14ac:dyDescent="0.3">
      <c r="B14">
        <v>2012</v>
      </c>
      <c r="C14">
        <f>VLOOKUP($B14,'Exh 5 Stores IS'!$A$3:$D$87,3,FALSE)</f>
        <v>3</v>
      </c>
      <c r="D14">
        <f t="shared" si="0"/>
        <v>29</v>
      </c>
      <c r="E14" s="7">
        <f>VLOOKUP($B14,'Exh 5 Stores IS'!$A$3:$D$87,4,FALSE)</f>
        <v>16300</v>
      </c>
      <c r="F14" s="7">
        <f t="shared" si="1"/>
        <v>536700</v>
      </c>
      <c r="G14" s="8"/>
    </row>
    <row r="15" spans="1:7" x14ac:dyDescent="0.3">
      <c r="B15">
        <v>2013</v>
      </c>
      <c r="C15">
        <f>VLOOKUP($B15,'Exh 5 Stores IS'!$A$3:$D$87,3,FALSE)</f>
        <v>2</v>
      </c>
      <c r="D15">
        <f t="shared" si="0"/>
        <v>31</v>
      </c>
      <c r="E15" s="7">
        <f>VLOOKUP($B15,'Exh 5 Stores IS'!$A$3:$D$87,4,FALSE)</f>
        <v>16000</v>
      </c>
      <c r="F15" s="7">
        <f t="shared" si="1"/>
        <v>568700</v>
      </c>
      <c r="G15" s="8"/>
    </row>
    <row r="16" spans="1:7" x14ac:dyDescent="0.3">
      <c r="B16">
        <v>2014</v>
      </c>
      <c r="C16">
        <f>VLOOKUP($B16,'Exh 5 Stores IS'!$A$3:$D$87,3,FALSE)</f>
        <v>2</v>
      </c>
      <c r="D16">
        <f t="shared" si="0"/>
        <v>33</v>
      </c>
      <c r="E16" s="7">
        <f>VLOOKUP($B16,'Exh 5 Stores IS'!$A$3:$D$87,4,FALSE)</f>
        <v>16000</v>
      </c>
      <c r="F16" s="7">
        <f t="shared" si="1"/>
        <v>600700</v>
      </c>
      <c r="G16" s="8"/>
    </row>
    <row r="17" spans="2:7" x14ac:dyDescent="0.3">
      <c r="B17">
        <v>2015</v>
      </c>
      <c r="C17">
        <f>VLOOKUP($B17,'Exh 5 Stores IS'!$A$3:$D$87,3,FALSE)</f>
        <v>2</v>
      </c>
      <c r="D17">
        <f t="shared" si="0"/>
        <v>35</v>
      </c>
      <c r="E17" s="7">
        <f>VLOOKUP($B17,'Exh 5 Stores IS'!$A$3:$D$87,4,FALSE)</f>
        <v>15000</v>
      </c>
      <c r="F17" s="7">
        <f t="shared" si="1"/>
        <v>630700</v>
      </c>
      <c r="G17" s="8"/>
    </row>
    <row r="18" spans="2:7" x14ac:dyDescent="0.3">
      <c r="G18" s="8"/>
    </row>
    <row r="32" spans="2:7" ht="14.25" customHeight="1" x14ac:dyDescent="0.3"/>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3"/>
  <sheetViews>
    <sheetView workbookViewId="0">
      <selection activeCell="A8" sqref="A8:S8"/>
    </sheetView>
  </sheetViews>
  <sheetFormatPr defaultColWidth="8.77734375" defaultRowHeight="14.4" x14ac:dyDescent="0.3"/>
  <cols>
    <col min="1" max="1" width="25.77734375" customWidth="1"/>
    <col min="2" max="19" width="9.21875" customWidth="1"/>
  </cols>
  <sheetData>
    <row r="1" spans="1:19" ht="18" x14ac:dyDescent="0.35">
      <c r="A1" s="10" t="s">
        <v>73</v>
      </c>
    </row>
    <row r="2" spans="1:19" x14ac:dyDescent="0.3">
      <c r="B2" s="4">
        <v>2002</v>
      </c>
      <c r="C2" s="4">
        <v>2003</v>
      </c>
      <c r="D2" s="4">
        <v>2004</v>
      </c>
      <c r="E2" s="4">
        <v>2005</v>
      </c>
      <c r="F2" s="4">
        <v>2006</v>
      </c>
      <c r="G2" s="4">
        <v>2007</v>
      </c>
      <c r="H2" s="4">
        <v>2008</v>
      </c>
      <c r="I2" s="4">
        <v>2009</v>
      </c>
      <c r="J2" s="4">
        <v>2010</v>
      </c>
      <c r="K2" s="4">
        <v>2011</v>
      </c>
      <c r="L2" s="4">
        <v>2012</v>
      </c>
      <c r="M2" s="4">
        <v>2013</v>
      </c>
      <c r="N2" s="4">
        <v>2014</v>
      </c>
      <c r="O2" s="4">
        <v>2015</v>
      </c>
      <c r="P2" s="4">
        <v>2016</v>
      </c>
      <c r="Q2" s="4">
        <v>2017</v>
      </c>
      <c r="R2" s="4">
        <v>2018</v>
      </c>
      <c r="S2" s="4">
        <v>2019</v>
      </c>
    </row>
    <row r="3" spans="1:19" x14ac:dyDescent="0.3">
      <c r="A3" t="s">
        <v>84</v>
      </c>
      <c r="B3" s="43">
        <v>180.9</v>
      </c>
      <c r="C3" s="44">
        <v>184.3</v>
      </c>
      <c r="D3" s="44">
        <v>190.3</v>
      </c>
      <c r="E3" s="44">
        <v>196.8</v>
      </c>
      <c r="F3" s="44">
        <v>201.8</v>
      </c>
      <c r="G3" s="44">
        <v>210.036</v>
      </c>
      <c r="H3" s="44">
        <v>210.22800000000001</v>
      </c>
      <c r="I3" s="44">
        <v>215.94900000000001</v>
      </c>
      <c r="J3" s="44">
        <v>219.179</v>
      </c>
      <c r="K3" s="44">
        <v>225.672</v>
      </c>
      <c r="L3" s="44">
        <v>229.601</v>
      </c>
      <c r="M3" s="16">
        <f>L3*(1+M4)</f>
        <v>233.45829679999997</v>
      </c>
      <c r="N3" s="16">
        <f t="shared" ref="N3:R3" si="0">M3*(1+N4)</f>
        <v>237.68389197207998</v>
      </c>
      <c r="O3" s="16">
        <f t="shared" si="0"/>
        <v>242.29495947633833</v>
      </c>
      <c r="P3" s="16">
        <f t="shared" si="0"/>
        <v>247.40738312128906</v>
      </c>
      <c r="Q3" s="16">
        <f t="shared" si="0"/>
        <v>252.10812340059351</v>
      </c>
      <c r="R3" s="16">
        <f t="shared" si="0"/>
        <v>256.6460696218042</v>
      </c>
      <c r="S3" s="16">
        <f t="shared" ref="S3" si="1">R3*(1+S4)</f>
        <v>261.2656988749967</v>
      </c>
    </row>
    <row r="4" spans="1:19" x14ac:dyDescent="0.3">
      <c r="A4" t="s">
        <v>47</v>
      </c>
      <c r="C4" s="6">
        <f>C3/B3-1</f>
        <v>1.8794914317302513E-2</v>
      </c>
      <c r="D4" s="6">
        <f t="shared" ref="D4:L4" si="2">D3/C3-1</f>
        <v>3.255561584373301E-2</v>
      </c>
      <c r="E4" s="6">
        <f t="shared" si="2"/>
        <v>3.4156594850236477E-2</v>
      </c>
      <c r="F4" s="6">
        <f t="shared" si="2"/>
        <v>2.5406504065040636E-2</v>
      </c>
      <c r="G4" s="6">
        <f t="shared" si="2"/>
        <v>4.0812685827551931E-2</v>
      </c>
      <c r="H4" s="6">
        <f t="shared" si="2"/>
        <v>9.1412900645604367E-4</v>
      </c>
      <c r="I4" s="6">
        <f t="shared" si="2"/>
        <v>2.7213311262058282E-2</v>
      </c>
      <c r="J4" s="6">
        <f t="shared" si="2"/>
        <v>1.4957235273143077E-2</v>
      </c>
      <c r="K4" s="6">
        <f t="shared" si="2"/>
        <v>2.9624188448710953E-2</v>
      </c>
      <c r="L4" s="6">
        <f t="shared" si="2"/>
        <v>1.7410223687475579E-2</v>
      </c>
      <c r="M4" s="42">
        <v>1.6799999999999999E-2</v>
      </c>
      <c r="N4" s="42">
        <v>1.8100000000000002E-2</v>
      </c>
      <c r="O4" s="42">
        <v>1.9400000000000001E-2</v>
      </c>
      <c r="P4" s="42">
        <v>2.1100000000000001E-2</v>
      </c>
      <c r="Q4" s="42">
        <v>1.9E-2</v>
      </c>
      <c r="R4" s="42">
        <v>1.7999999999999999E-2</v>
      </c>
      <c r="S4" s="42">
        <v>1.7999999999999999E-2</v>
      </c>
    </row>
    <row r="5" spans="1:19" x14ac:dyDescent="0.3">
      <c r="A5" t="s">
        <v>46</v>
      </c>
      <c r="B5" s="45">
        <v>10642.3</v>
      </c>
      <c r="C5" s="39">
        <v>11142.225</v>
      </c>
      <c r="D5" s="39">
        <v>11853.25</v>
      </c>
      <c r="E5" s="39">
        <v>12622.95</v>
      </c>
      <c r="F5" s="39">
        <v>13377.2</v>
      </c>
      <c r="G5" s="39">
        <v>14028.674999999999</v>
      </c>
      <c r="H5" s="39">
        <v>14291.55</v>
      </c>
      <c r="I5" s="39">
        <v>13973.65</v>
      </c>
      <c r="J5" s="39">
        <v>14498.924999999999</v>
      </c>
      <c r="K5" s="39">
        <v>15075.674999999999</v>
      </c>
      <c r="L5" s="39">
        <v>15684.75</v>
      </c>
      <c r="M5" s="39">
        <v>16237.745999999999</v>
      </c>
      <c r="N5" s="39">
        <v>17049.026999999998</v>
      </c>
      <c r="O5" s="39">
        <v>18012.185000000001</v>
      </c>
      <c r="P5" s="39">
        <v>19020.508999999998</v>
      </c>
      <c r="Q5" s="39">
        <v>20077.907999999999</v>
      </c>
      <c r="R5" s="39">
        <v>21101.367999999999</v>
      </c>
      <c r="S5" s="7"/>
    </row>
    <row r="6" spans="1:19" x14ac:dyDescent="0.3">
      <c r="A6" t="s">
        <v>83</v>
      </c>
      <c r="B6" s="7"/>
      <c r="C6" s="6">
        <f>C5/B5-1</f>
        <v>4.6975277900453971E-2</v>
      </c>
      <c r="D6" s="6">
        <f t="shared" ref="D6:R6" si="3">D5/C5-1</f>
        <v>6.3813556089560075E-2</v>
      </c>
      <c r="E6" s="6">
        <f t="shared" si="3"/>
        <v>6.4935777107544501E-2</v>
      </c>
      <c r="F6" s="6">
        <f t="shared" si="3"/>
        <v>5.9752276607290655E-2</v>
      </c>
      <c r="G6" s="6">
        <f t="shared" si="3"/>
        <v>4.870040068175685E-2</v>
      </c>
      <c r="H6" s="6">
        <f t="shared" si="3"/>
        <v>1.8738405444562733E-2</v>
      </c>
      <c r="I6" s="6">
        <f t="shared" si="3"/>
        <v>-2.2243913361391865E-2</v>
      </c>
      <c r="J6" s="6">
        <f t="shared" si="3"/>
        <v>3.7590393347479045E-2</v>
      </c>
      <c r="K6" s="6">
        <f t="shared" si="3"/>
        <v>3.9778811187725971E-2</v>
      </c>
      <c r="L6" s="6">
        <f t="shared" si="3"/>
        <v>4.0401176066743316E-2</v>
      </c>
      <c r="M6" s="6">
        <f t="shared" si="3"/>
        <v>3.5256921532061281E-2</v>
      </c>
      <c r="N6" s="6">
        <f t="shared" si="3"/>
        <v>4.996266107377223E-2</v>
      </c>
      <c r="O6" s="6">
        <f t="shared" si="3"/>
        <v>5.6493429214464985E-2</v>
      </c>
      <c r="P6" s="6">
        <f t="shared" si="3"/>
        <v>5.5980104579205436E-2</v>
      </c>
      <c r="Q6" s="6">
        <f t="shared" si="3"/>
        <v>5.5592571155693049E-2</v>
      </c>
      <c r="R6" s="6">
        <f t="shared" si="3"/>
        <v>5.0974434189059892E-2</v>
      </c>
      <c r="S6" s="6"/>
    </row>
    <row r="7" spans="1:19" x14ac:dyDescent="0.3">
      <c r="A7" t="s">
        <v>20</v>
      </c>
      <c r="B7" s="34">
        <v>94.44</v>
      </c>
      <c r="C7" s="43">
        <v>96.74</v>
      </c>
      <c r="D7" s="43">
        <v>103.76</v>
      </c>
      <c r="E7" s="43">
        <v>109.12</v>
      </c>
      <c r="F7" s="43">
        <v>112.8</v>
      </c>
      <c r="G7" s="43">
        <v>111.14</v>
      </c>
      <c r="H7" s="43">
        <v>99.56</v>
      </c>
      <c r="I7" s="43">
        <v>86.26</v>
      </c>
      <c r="J7" s="43">
        <v>87.29</v>
      </c>
      <c r="K7" s="43">
        <v>90.07</v>
      </c>
      <c r="L7" s="43">
        <f>K7*(1+L8)</f>
        <v>93.132379999999998</v>
      </c>
      <c r="M7" s="8">
        <f t="shared" ref="M7:S7" si="4">L7*(1+M8)</f>
        <v>95.926351400000001</v>
      </c>
      <c r="N7" s="8">
        <f t="shared" si="4"/>
        <v>98.61228923920001</v>
      </c>
      <c r="O7" s="8">
        <f t="shared" si="4"/>
        <v>101.17620875941921</v>
      </c>
      <c r="P7" s="8">
        <f t="shared" si="4"/>
        <v>103.60443776964527</v>
      </c>
      <c r="Q7" s="8">
        <f t="shared" si="4"/>
        <v>105.88373540057746</v>
      </c>
      <c r="R7" s="8">
        <f t="shared" si="4"/>
        <v>108.00141010858901</v>
      </c>
      <c r="S7" s="8">
        <f t="shared" si="4"/>
        <v>110.1614383107608</v>
      </c>
    </row>
    <row r="8" spans="1:19" x14ac:dyDescent="0.3">
      <c r="A8" t="s">
        <v>48</v>
      </c>
      <c r="C8" s="18">
        <f>C7/B7-1</f>
        <v>2.4354087251164724E-2</v>
      </c>
      <c r="D8" s="18">
        <f t="shared" ref="D8:K8" si="5">D7/C7-1</f>
        <v>7.2565639859416997E-2</v>
      </c>
      <c r="E8" s="18">
        <f t="shared" si="5"/>
        <v>5.1657671549730111E-2</v>
      </c>
      <c r="F8" s="18">
        <f t="shared" si="5"/>
        <v>3.3724340175953049E-2</v>
      </c>
      <c r="G8" s="18">
        <f t="shared" si="5"/>
        <v>-1.4716312056737513E-2</v>
      </c>
      <c r="H8" s="18">
        <f t="shared" si="5"/>
        <v>-0.10419290984344065</v>
      </c>
      <c r="I8" s="18">
        <f>I7/H7-1</f>
        <v>-0.13358778625954193</v>
      </c>
      <c r="J8" s="18">
        <f t="shared" si="5"/>
        <v>1.1940644562949299E-2</v>
      </c>
      <c r="K8" s="18">
        <f t="shared" si="5"/>
        <v>3.1847863443693392E-2</v>
      </c>
      <c r="L8" s="6">
        <v>3.4000000000000002E-2</v>
      </c>
      <c r="M8" s="42">
        <v>0.03</v>
      </c>
      <c r="N8" s="42">
        <v>2.8000000000000001E-2</v>
      </c>
      <c r="O8" s="42">
        <v>2.5999999999999999E-2</v>
      </c>
      <c r="P8" s="42">
        <v>2.4E-2</v>
      </c>
      <c r="Q8" s="42">
        <v>2.1999999999999999E-2</v>
      </c>
      <c r="R8" s="42">
        <v>0.02</v>
      </c>
      <c r="S8" s="46">
        <v>0.02</v>
      </c>
    </row>
    <row r="13" spans="1:19" x14ac:dyDescent="0.3">
      <c r="R13" s="7"/>
    </row>
  </sheetData>
  <pageMargins left="0.7" right="0.7" top="0.75" bottom="0.75" header="0.3" footer="0.3"/>
  <pageSetup scale="62" orientation="landscape"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29"/>
  <sheetViews>
    <sheetView workbookViewId="0">
      <selection activeCell="L8" sqref="L8"/>
    </sheetView>
  </sheetViews>
  <sheetFormatPr defaultColWidth="8.77734375" defaultRowHeight="14.4" x14ac:dyDescent="0.3"/>
  <cols>
    <col min="1" max="1" width="5.77734375" customWidth="1"/>
    <col min="2" max="2" width="25.77734375" customWidth="1"/>
    <col min="3" max="12" width="9.21875" customWidth="1"/>
  </cols>
  <sheetData>
    <row r="1" spans="1:14" ht="18" x14ac:dyDescent="0.35">
      <c r="A1" s="10" t="s">
        <v>74</v>
      </c>
    </row>
    <row r="2" spans="1:14" ht="15" customHeight="1" x14ac:dyDescent="0.3">
      <c r="C2" s="4">
        <v>2003</v>
      </c>
      <c r="D2" s="4">
        <v>2004</v>
      </c>
      <c r="E2" s="4">
        <v>2005</v>
      </c>
      <c r="F2" s="4">
        <v>2006</v>
      </c>
      <c r="G2" s="4">
        <v>2007</v>
      </c>
      <c r="H2" s="4">
        <v>2008</v>
      </c>
      <c r="I2" s="4">
        <v>2009</v>
      </c>
      <c r="J2" s="4">
        <v>2010</v>
      </c>
      <c r="K2" s="4">
        <v>2011</v>
      </c>
      <c r="L2" s="4">
        <v>2012</v>
      </c>
    </row>
    <row r="3" spans="1:14" ht="15" customHeight="1" x14ac:dyDescent="0.3">
      <c r="B3" t="s">
        <v>0</v>
      </c>
      <c r="D3" s="32">
        <v>2056.5</v>
      </c>
      <c r="E3" s="32">
        <v>10415</v>
      </c>
      <c r="F3" s="32">
        <v>26700.600000000002</v>
      </c>
      <c r="G3" s="32">
        <v>51539.6</v>
      </c>
      <c r="H3" s="32">
        <v>79191</v>
      </c>
      <c r="I3" s="32">
        <v>90679.700000000012</v>
      </c>
      <c r="J3" s="32">
        <v>111451</v>
      </c>
      <c r="K3" s="32">
        <v>134093.30000000002</v>
      </c>
      <c r="L3" s="32">
        <v>148217.90000000002</v>
      </c>
    </row>
    <row r="4" spans="1:14" ht="15" customHeight="1" x14ac:dyDescent="0.3">
      <c r="B4" t="s">
        <v>60</v>
      </c>
      <c r="D4" s="32">
        <v>-1462.9</v>
      </c>
      <c r="E4" s="32">
        <v>-7056.7000000000007</v>
      </c>
      <c r="F4" s="32">
        <v>-17423.8</v>
      </c>
      <c r="G4" s="32">
        <v>-30730.199999999997</v>
      </c>
      <c r="H4" s="32">
        <v>-43833.8</v>
      </c>
      <c r="I4" s="32">
        <v>-47289.9</v>
      </c>
      <c r="J4" s="32">
        <v>-49067.7</v>
      </c>
      <c r="K4" s="32">
        <v>-55486.7</v>
      </c>
      <c r="L4" s="32">
        <v>-61955.099999999991</v>
      </c>
      <c r="N4" s="3"/>
    </row>
    <row r="5" spans="1:14" ht="15" customHeight="1" x14ac:dyDescent="0.3">
      <c r="B5" t="s">
        <v>61</v>
      </c>
      <c r="D5" s="32">
        <v>-409.5</v>
      </c>
      <c r="E5" s="32">
        <v>-1811.5</v>
      </c>
      <c r="F5" s="32">
        <v>-4957.5999999999995</v>
      </c>
      <c r="G5" s="32">
        <v>-9230.1</v>
      </c>
      <c r="H5" s="32">
        <v>-13576.4</v>
      </c>
      <c r="I5" s="32">
        <v>-14679.1</v>
      </c>
      <c r="J5" s="32">
        <v>-16470.900000000001</v>
      </c>
      <c r="K5" s="32">
        <v>-18698.099999999999</v>
      </c>
      <c r="L5" s="32">
        <v>-21252.500000000004</v>
      </c>
      <c r="N5" s="3"/>
    </row>
    <row r="6" spans="1:14" ht="15" customHeight="1" x14ac:dyDescent="0.3">
      <c r="B6" t="s">
        <v>4</v>
      </c>
      <c r="D6" s="32">
        <v>-203.4</v>
      </c>
      <c r="E6" s="32">
        <v>-1018.7</v>
      </c>
      <c r="F6" s="32">
        <v>-2410.8000000000002</v>
      </c>
      <c r="G6" s="32">
        <v>-4587.5</v>
      </c>
      <c r="H6" s="32">
        <v>-6584.6</v>
      </c>
      <c r="I6" s="32">
        <v>-7532</v>
      </c>
      <c r="J6" s="32">
        <v>-8366.6</v>
      </c>
      <c r="K6" s="32">
        <v>-9545</v>
      </c>
      <c r="L6" s="32">
        <v>-10743.699999999999</v>
      </c>
      <c r="N6" s="3"/>
    </row>
    <row r="7" spans="1:14" ht="15" customHeight="1" x14ac:dyDescent="0.3">
      <c r="B7" t="s">
        <v>8</v>
      </c>
      <c r="D7" s="32">
        <v>-71.599999999999994</v>
      </c>
      <c r="E7" s="32">
        <v>-306.60000000000002</v>
      </c>
      <c r="F7" s="32">
        <v>-669.40000000000009</v>
      </c>
      <c r="G7" s="32">
        <v>-1263.6000000000001</v>
      </c>
      <c r="H7" s="32">
        <v>-2075.2000000000003</v>
      </c>
      <c r="I7" s="32">
        <v>-2188.4</v>
      </c>
      <c r="J7" s="32">
        <v>-2032.1999999999998</v>
      </c>
      <c r="K7" s="32">
        <v>-1819.8000000000002</v>
      </c>
      <c r="L7" s="32">
        <v>-1450.08</v>
      </c>
      <c r="N7" s="3"/>
    </row>
    <row r="8" spans="1:14" ht="15" customHeight="1" x14ac:dyDescent="0.3">
      <c r="B8" t="s">
        <v>50</v>
      </c>
      <c r="D8" s="32">
        <v>-250</v>
      </c>
      <c r="E8" s="32">
        <v>-1080</v>
      </c>
      <c r="F8" s="32">
        <v>-2330</v>
      </c>
      <c r="G8" s="32">
        <v>-4240</v>
      </c>
      <c r="H8" s="32">
        <v>-6770</v>
      </c>
      <c r="I8" s="32">
        <v>-7380</v>
      </c>
      <c r="J8" s="32">
        <v>-7712</v>
      </c>
      <c r="K8" s="32">
        <v>-8450</v>
      </c>
      <c r="L8" s="32">
        <v>-9320</v>
      </c>
      <c r="N8" s="3"/>
    </row>
    <row r="9" spans="1:14" ht="15" customHeight="1" x14ac:dyDescent="0.3">
      <c r="B9" t="s">
        <v>82</v>
      </c>
      <c r="D9" s="32">
        <v>-185.084</v>
      </c>
      <c r="E9" s="32">
        <v>-729.05200000000002</v>
      </c>
      <c r="F9" s="32">
        <v>-1602.037</v>
      </c>
      <c r="G9" s="32">
        <v>-3092.3780000000002</v>
      </c>
      <c r="H9" s="32">
        <v>-4751.4620000000004</v>
      </c>
      <c r="I9" s="32">
        <v>-5440.7830000000004</v>
      </c>
      <c r="J9" s="32">
        <v>-5572.55</v>
      </c>
      <c r="K9" s="32">
        <v>-6704.6639999999998</v>
      </c>
      <c r="L9" s="32">
        <v>-7410.8940000000002</v>
      </c>
      <c r="N9" s="3"/>
    </row>
    <row r="10" spans="1:14" s="14" customFormat="1" ht="15" hidden="1" customHeight="1" x14ac:dyDescent="0.3">
      <c r="B10" t="s">
        <v>92</v>
      </c>
      <c r="D10" s="7">
        <f>SUM(D3:D9)</f>
        <v>-525.98400000000015</v>
      </c>
      <c r="E10" s="7">
        <f t="shared" ref="E10:H10" si="0">SUM(E3:E9)</f>
        <v>-1587.5520000000008</v>
      </c>
      <c r="F10" s="7">
        <f t="shared" si="0"/>
        <v>-2693.0369999999966</v>
      </c>
      <c r="G10" s="7">
        <f t="shared" si="0"/>
        <v>-1604.1779999999994</v>
      </c>
      <c r="H10" s="7">
        <f t="shared" si="0"/>
        <v>1599.5379999999941</v>
      </c>
      <c r="I10" s="7">
        <f>SUM(I3:I9)</f>
        <v>6169.5170000000098</v>
      </c>
      <c r="J10" s="7">
        <f t="shared" ref="J10" si="1">SUM(J3:J9)</f>
        <v>22229.050000000007</v>
      </c>
      <c r="K10" s="7">
        <f t="shared" ref="K10" si="2">SUM(K3:K9)</f>
        <v>33389.036000000022</v>
      </c>
      <c r="L10" s="7">
        <f t="shared" ref="L10" si="3">SUM(L3:L9)</f>
        <v>36085.626000000033</v>
      </c>
      <c r="N10" s="3"/>
    </row>
    <row r="11" spans="1:14" s="14" customFormat="1" ht="15" hidden="1" customHeight="1" x14ac:dyDescent="0.3">
      <c r="B11" t="s">
        <v>93</v>
      </c>
      <c r="D11" s="7">
        <f>IF(D10&lt;0,C11-D10,IF(C11-D10&gt;0,C11-D10,0))</f>
        <v>525.98400000000015</v>
      </c>
      <c r="E11" s="7">
        <f t="shared" ref="E11:H11" si="4">IF(E10&lt;0,D11-E10,IF(D11-E10&gt;0,D11-E10,0))</f>
        <v>2113.536000000001</v>
      </c>
      <c r="F11" s="7">
        <f t="shared" si="4"/>
        <v>4806.5729999999976</v>
      </c>
      <c r="G11" s="7">
        <f t="shared" si="4"/>
        <v>6410.7509999999966</v>
      </c>
      <c r="H11" s="7">
        <f t="shared" si="4"/>
        <v>4811.2130000000025</v>
      </c>
      <c r="I11" s="7">
        <f>IF(I10&lt;0,H11-I10,IF(H11-I10&gt;0,H11-I10,0))</f>
        <v>0</v>
      </c>
      <c r="J11" s="7">
        <f t="shared" ref="J11" si="5">IF(J10&lt;0,I11-J10,IF(I11-J10&gt;0,I11-J10,0))</f>
        <v>0</v>
      </c>
      <c r="K11" s="7">
        <f t="shared" ref="K11" si="6">IF(K10&lt;0,J11-K10,IF(J11-K10&gt;0,J11-K10,0))</f>
        <v>0</v>
      </c>
      <c r="L11" s="7">
        <f t="shared" ref="L11" si="7">IF(L10&lt;0,K11-L10,IF(K11-L10&gt;0,K11-L10,0))</f>
        <v>0</v>
      </c>
      <c r="N11" s="3"/>
    </row>
    <row r="12" spans="1:14" ht="15" customHeight="1" x14ac:dyDescent="0.3">
      <c r="B12" s="4" t="s">
        <v>5</v>
      </c>
      <c r="C12" s="77"/>
      <c r="D12" s="11">
        <f>IF(D10&lt;0,0,IF(C11&gt;0,-$C$16*MAX(D10-C11,0),-$C$16*D10))</f>
        <v>0</v>
      </c>
      <c r="E12" s="11">
        <f t="shared" ref="E12:H12" si="8">IF(E10&lt;0,0,IF(D11&gt;0,-$C$16*MAX(E10-D11,0),-$C$16*E10))</f>
        <v>0</v>
      </c>
      <c r="F12" s="11">
        <f t="shared" si="8"/>
        <v>0</v>
      </c>
      <c r="G12" s="11">
        <f t="shared" si="8"/>
        <v>0</v>
      </c>
      <c r="H12" s="11">
        <f t="shared" si="8"/>
        <v>0</v>
      </c>
      <c r="I12" s="11">
        <f>IF(I10&lt;0,0,IF(H11&gt;0,-$C$16*MAX(I10-H11,0),-$C$16*I10))</f>
        <v>-543.32160000000295</v>
      </c>
      <c r="J12" s="11">
        <f t="shared" ref="J12:L12" si="9">IF(J10&lt;0,0,IF(I11&gt;0,-$C$16*MAX(J10-I11,0),-$C$16*J10))</f>
        <v>-8891.6200000000026</v>
      </c>
      <c r="K12" s="11">
        <f t="shared" si="9"/>
        <v>-13355.614400000009</v>
      </c>
      <c r="L12" s="11">
        <f t="shared" si="9"/>
        <v>-14434.250400000014</v>
      </c>
      <c r="N12" s="3"/>
    </row>
    <row r="13" spans="1:14" ht="15" customHeight="1" x14ac:dyDescent="0.3">
      <c r="B13" t="s">
        <v>18</v>
      </c>
      <c r="D13" s="7">
        <f>SUM(D3:D9)+D12</f>
        <v>-525.98400000000015</v>
      </c>
      <c r="E13" s="7">
        <f t="shared" ref="E13:L13" si="10">SUM(E3:E9)+E12</f>
        <v>-1587.5520000000008</v>
      </c>
      <c r="F13" s="7">
        <f t="shared" si="10"/>
        <v>-2693.0369999999966</v>
      </c>
      <c r="G13" s="7">
        <f t="shared" si="10"/>
        <v>-1604.1779999999994</v>
      </c>
      <c r="H13" s="7">
        <f t="shared" si="10"/>
        <v>1599.5379999999941</v>
      </c>
      <c r="I13" s="7">
        <f t="shared" si="10"/>
        <v>5626.1954000000069</v>
      </c>
      <c r="J13" s="7">
        <f t="shared" si="10"/>
        <v>13337.430000000004</v>
      </c>
      <c r="K13" s="7">
        <f t="shared" si="10"/>
        <v>20033.421600000012</v>
      </c>
      <c r="L13" s="7">
        <f t="shared" si="10"/>
        <v>21651.375600000021</v>
      </c>
      <c r="N13" s="3"/>
    </row>
    <row r="14" spans="1:14" ht="15" customHeight="1" x14ac:dyDescent="0.3">
      <c r="D14" s="7"/>
    </row>
    <row r="15" spans="1:14" ht="15" customHeight="1" x14ac:dyDescent="0.3">
      <c r="A15" t="s">
        <v>6</v>
      </c>
      <c r="D15" s="6"/>
      <c r="E15" s="6"/>
      <c r="F15" s="6"/>
      <c r="G15" s="6"/>
      <c r="H15" s="6"/>
      <c r="I15" s="6"/>
      <c r="J15" s="6"/>
      <c r="K15" s="6"/>
      <c r="L15" s="6"/>
    </row>
    <row r="16" spans="1:14" ht="15" customHeight="1" x14ac:dyDescent="0.3">
      <c r="B16" t="s">
        <v>63</v>
      </c>
      <c r="C16" s="40">
        <v>0.4</v>
      </c>
      <c r="D16" s="6"/>
      <c r="E16" s="6"/>
      <c r="F16" s="6"/>
      <c r="G16" s="6"/>
      <c r="H16" s="6"/>
      <c r="I16" s="6"/>
      <c r="J16" s="6"/>
      <c r="K16" s="6"/>
      <c r="L16" s="6"/>
    </row>
    <row r="17" spans="4:12" x14ac:dyDescent="0.3">
      <c r="D17" s="32"/>
      <c r="E17" s="32"/>
      <c r="F17" s="32"/>
      <c r="G17" s="32"/>
      <c r="H17" s="32"/>
      <c r="I17" s="32"/>
      <c r="J17" s="32"/>
      <c r="K17" s="32"/>
      <c r="L17" s="32"/>
    </row>
    <row r="18" spans="4:12" x14ac:dyDescent="0.3">
      <c r="D18" s="7"/>
      <c r="E18" s="3"/>
      <c r="F18" s="3"/>
      <c r="G18" s="3"/>
      <c r="H18" s="3"/>
      <c r="I18" s="3"/>
      <c r="J18" s="3"/>
      <c r="K18" s="3"/>
      <c r="L18" s="3"/>
    </row>
    <row r="19" spans="4:12" x14ac:dyDescent="0.3">
      <c r="D19" s="7"/>
      <c r="E19" s="7"/>
      <c r="F19" s="7"/>
      <c r="G19" s="7"/>
      <c r="H19" s="7"/>
      <c r="I19" s="7"/>
      <c r="J19" s="7"/>
      <c r="K19" s="7"/>
      <c r="L19" s="7"/>
    </row>
    <row r="20" spans="4:12" x14ac:dyDescent="0.3">
      <c r="D20" s="7"/>
      <c r="E20" s="7"/>
      <c r="F20" s="7"/>
      <c r="G20" s="7"/>
      <c r="H20" s="7"/>
      <c r="I20" s="7"/>
      <c r="J20" s="7"/>
      <c r="K20" s="7"/>
      <c r="L20" s="7"/>
    </row>
    <row r="21" spans="4:12" x14ac:dyDescent="0.3">
      <c r="D21" s="7"/>
      <c r="E21" s="7"/>
      <c r="F21" s="7"/>
      <c r="G21" s="7"/>
      <c r="H21" s="7"/>
      <c r="I21" s="7"/>
      <c r="J21" s="7"/>
      <c r="K21" s="7"/>
      <c r="L21" s="7"/>
    </row>
    <row r="22" spans="4:12" x14ac:dyDescent="0.3">
      <c r="D22" s="7"/>
      <c r="E22" s="7"/>
      <c r="F22" s="7"/>
      <c r="G22" s="7"/>
      <c r="H22" s="7"/>
      <c r="I22" s="7"/>
      <c r="J22" s="7"/>
      <c r="K22" s="7"/>
      <c r="L22" s="7"/>
    </row>
    <row r="23" spans="4:12" x14ac:dyDescent="0.3">
      <c r="D23" s="7"/>
      <c r="E23" s="7"/>
      <c r="F23" s="7"/>
      <c r="G23" s="7"/>
      <c r="H23" s="7"/>
      <c r="I23" s="7"/>
      <c r="J23" s="7"/>
      <c r="K23" s="7"/>
      <c r="L23" s="7"/>
    </row>
    <row r="24" spans="4:12" x14ac:dyDescent="0.3">
      <c r="D24" s="7"/>
      <c r="E24" s="7"/>
      <c r="F24" s="7"/>
      <c r="G24" s="7"/>
      <c r="H24" s="7"/>
      <c r="I24" s="7"/>
      <c r="J24" s="7"/>
      <c r="K24" s="7"/>
      <c r="L24" s="7"/>
    </row>
    <row r="25" spans="4:12" x14ac:dyDescent="0.3">
      <c r="D25" s="7"/>
      <c r="E25" s="7"/>
      <c r="F25" s="7"/>
      <c r="G25" s="7"/>
      <c r="H25" s="7"/>
      <c r="I25" s="7"/>
      <c r="J25" s="7"/>
      <c r="K25" s="7"/>
      <c r="L25" s="7"/>
    </row>
    <row r="26" spans="4:12" x14ac:dyDescent="0.3">
      <c r="D26" s="7"/>
      <c r="E26" s="7"/>
      <c r="F26" s="7"/>
      <c r="G26" s="7"/>
      <c r="H26" s="7"/>
      <c r="I26" s="7"/>
      <c r="J26" s="7"/>
      <c r="K26" s="7"/>
      <c r="L26" s="7"/>
    </row>
    <row r="27" spans="4:12" x14ac:dyDescent="0.3">
      <c r="D27" s="7"/>
      <c r="E27" s="7"/>
      <c r="F27" s="7"/>
      <c r="G27" s="7"/>
      <c r="H27" s="7"/>
      <c r="I27" s="7"/>
      <c r="J27" s="7"/>
      <c r="K27" s="7"/>
      <c r="L27" s="7"/>
    </row>
    <row r="28" spans="4:12" x14ac:dyDescent="0.3">
      <c r="D28" s="7"/>
      <c r="E28" s="7"/>
      <c r="F28" s="7"/>
      <c r="G28" s="7"/>
      <c r="H28" s="7"/>
      <c r="I28" s="7"/>
      <c r="J28" s="7"/>
      <c r="K28" s="7"/>
      <c r="L28" s="7"/>
    </row>
    <row r="29" spans="4:12" x14ac:dyDescent="0.3">
      <c r="D29" s="7"/>
      <c r="E29" s="7"/>
      <c r="F29" s="7"/>
      <c r="G29" s="7"/>
      <c r="H29" s="7"/>
      <c r="I29" s="7"/>
      <c r="J29" s="7"/>
      <c r="K29" s="7"/>
      <c r="L29" s="7"/>
    </row>
  </sheetData>
  <pageMargins left="0.7" right="0.7" top="0.75" bottom="0.75" header="0.3" footer="0.3"/>
  <pageSetup scale="59" fitToHeight="0"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8"/>
  <sheetViews>
    <sheetView workbookViewId="0"/>
  </sheetViews>
  <sheetFormatPr defaultColWidth="8.77734375" defaultRowHeight="14.4" x14ac:dyDescent="0.3"/>
  <cols>
    <col min="1" max="1" width="5.77734375" customWidth="1"/>
    <col min="2" max="2" width="25.77734375" customWidth="1"/>
    <col min="3" max="12" width="9.21875" customWidth="1"/>
  </cols>
  <sheetData>
    <row r="1" spans="1:12" ht="18" x14ac:dyDescent="0.35">
      <c r="A1" s="10" t="s">
        <v>75</v>
      </c>
    </row>
    <row r="2" spans="1:12" ht="15" customHeight="1" x14ac:dyDescent="0.3">
      <c r="C2" s="4">
        <v>2003</v>
      </c>
      <c r="D2" s="4">
        <v>2004</v>
      </c>
      <c r="E2" s="4">
        <v>2005</v>
      </c>
      <c r="F2" s="4">
        <v>2006</v>
      </c>
      <c r="G2" s="4">
        <v>2007</v>
      </c>
      <c r="H2" s="4">
        <v>2008</v>
      </c>
      <c r="I2" s="4">
        <v>2009</v>
      </c>
      <c r="J2" s="4">
        <v>2010</v>
      </c>
      <c r="K2" s="4">
        <v>2011</v>
      </c>
      <c r="L2" s="4">
        <v>2012</v>
      </c>
    </row>
    <row r="3" spans="1:12" ht="15" customHeight="1" x14ac:dyDescent="0.3">
      <c r="A3" s="28" t="s">
        <v>24</v>
      </c>
    </row>
    <row r="4" spans="1:12" ht="15" customHeight="1" x14ac:dyDescent="0.3">
      <c r="B4" t="s">
        <v>10</v>
      </c>
      <c r="C4" s="32">
        <v>0</v>
      </c>
      <c r="D4" s="32">
        <v>751</v>
      </c>
      <c r="E4" s="32">
        <v>3478.6869999999999</v>
      </c>
      <c r="F4" s="32">
        <v>8674.9330000000009</v>
      </c>
      <c r="G4" s="32">
        <v>16945.691999999999</v>
      </c>
      <c r="H4" s="32">
        <v>25271.949000000001</v>
      </c>
      <c r="I4" s="32">
        <v>29059.143</v>
      </c>
      <c r="J4" s="32">
        <v>36625.199000000001</v>
      </c>
      <c r="K4" s="32">
        <v>42421.428</v>
      </c>
      <c r="L4" s="32">
        <v>48199.959000000003</v>
      </c>
    </row>
    <row r="5" spans="1:12" ht="15" customHeight="1" x14ac:dyDescent="0.3">
      <c r="B5" t="s">
        <v>11</v>
      </c>
      <c r="C5" s="33">
        <v>670.84199999999998</v>
      </c>
      <c r="D5" s="33">
        <v>3151.277</v>
      </c>
      <c r="E5" s="33">
        <v>8215.9439999999995</v>
      </c>
      <c r="F5" s="33">
        <v>15124.78</v>
      </c>
      <c r="G5" s="33">
        <v>20907.760999999999</v>
      </c>
      <c r="H5" s="33">
        <v>21714.712</v>
      </c>
      <c r="I5" s="33">
        <v>24867.531999999999</v>
      </c>
      <c r="J5" s="33">
        <v>26807.82</v>
      </c>
      <c r="K5" s="33">
        <v>29215.65</v>
      </c>
      <c r="L5" s="33">
        <v>33342.957000000002</v>
      </c>
    </row>
    <row r="6" spans="1:12" ht="15" customHeight="1" x14ac:dyDescent="0.3">
      <c r="A6" t="s">
        <v>26</v>
      </c>
      <c r="C6" s="36">
        <f>SUM(C4:C5)</f>
        <v>670.84199999999998</v>
      </c>
      <c r="D6" s="36">
        <f t="shared" ref="D6:E6" si="0">SUM(D4:D5)</f>
        <v>3902.277</v>
      </c>
      <c r="E6" s="36">
        <f t="shared" si="0"/>
        <v>11694.630999999999</v>
      </c>
      <c r="F6" s="36">
        <f t="shared" ref="F6:L6" si="1">SUM(F4:F5)</f>
        <v>23799.713000000003</v>
      </c>
      <c r="G6" s="36">
        <f t="shared" si="1"/>
        <v>37853.452999999994</v>
      </c>
      <c r="H6" s="36">
        <f t="shared" si="1"/>
        <v>46986.661</v>
      </c>
      <c r="I6" s="36">
        <f t="shared" si="1"/>
        <v>53926.675000000003</v>
      </c>
      <c r="J6" s="36">
        <f t="shared" si="1"/>
        <v>63433.019</v>
      </c>
      <c r="K6" s="36">
        <f t="shared" si="1"/>
        <v>71637.078000000009</v>
      </c>
      <c r="L6" s="36">
        <f t="shared" si="1"/>
        <v>81542.915999999997</v>
      </c>
    </row>
    <row r="7" spans="1:12" ht="15" customHeight="1" x14ac:dyDescent="0.3">
      <c r="B7" t="s">
        <v>7</v>
      </c>
      <c r="C7" s="33">
        <v>358</v>
      </c>
      <c r="D7" s="33">
        <v>1461.4</v>
      </c>
      <c r="E7" s="33">
        <v>2968.8</v>
      </c>
      <c r="F7" s="33">
        <v>5270.4</v>
      </c>
      <c r="G7" s="33">
        <v>8064.8</v>
      </c>
      <c r="H7" s="33">
        <v>6913.6</v>
      </c>
      <c r="I7" s="33">
        <v>5119.2</v>
      </c>
      <c r="J7" s="33">
        <v>3839</v>
      </c>
      <c r="K7" s="33">
        <v>3141.6</v>
      </c>
      <c r="L7" s="33">
        <v>3920.12</v>
      </c>
    </row>
    <row r="8" spans="1:12" ht="15" customHeight="1" x14ac:dyDescent="0.3">
      <c r="A8" t="s">
        <v>27</v>
      </c>
      <c r="C8" s="37">
        <f>C6+C7</f>
        <v>1028.8420000000001</v>
      </c>
      <c r="D8" s="37">
        <f t="shared" ref="D8:E8" si="2">D6+D7</f>
        <v>5363.6769999999997</v>
      </c>
      <c r="E8" s="37">
        <f t="shared" si="2"/>
        <v>14663.431</v>
      </c>
      <c r="F8" s="37">
        <f t="shared" ref="F8:L8" si="3">F6+F7</f>
        <v>29070.113000000005</v>
      </c>
      <c r="G8" s="37">
        <f t="shared" si="3"/>
        <v>45918.252999999997</v>
      </c>
      <c r="H8" s="37">
        <f t="shared" si="3"/>
        <v>53900.260999999999</v>
      </c>
      <c r="I8" s="37">
        <f t="shared" si="3"/>
        <v>59045.875</v>
      </c>
      <c r="J8" s="37">
        <f t="shared" si="3"/>
        <v>67272.019</v>
      </c>
      <c r="K8" s="37">
        <f t="shared" si="3"/>
        <v>74778.678000000014</v>
      </c>
      <c r="L8" s="37">
        <f t="shared" si="3"/>
        <v>85463.035999999993</v>
      </c>
    </row>
    <row r="9" spans="1:12" ht="15" customHeight="1" x14ac:dyDescent="0.3">
      <c r="C9" s="7"/>
      <c r="D9" s="7"/>
      <c r="E9" s="7"/>
      <c r="F9" s="7"/>
      <c r="G9" s="7"/>
      <c r="H9" s="7"/>
      <c r="I9" s="7"/>
      <c r="J9" s="7"/>
      <c r="K9" s="7"/>
      <c r="L9" s="7"/>
    </row>
    <row r="10" spans="1:12" ht="15" customHeight="1" x14ac:dyDescent="0.3">
      <c r="A10" s="20" t="s">
        <v>25</v>
      </c>
      <c r="D10" s="2"/>
      <c r="E10" s="2"/>
      <c r="F10" s="2"/>
      <c r="G10" s="2"/>
      <c r="H10" s="2"/>
      <c r="I10" s="2"/>
      <c r="J10" s="2"/>
      <c r="K10" s="2"/>
      <c r="L10" s="2"/>
    </row>
    <row r="11" spans="1:12" ht="15" customHeight="1" x14ac:dyDescent="0.3">
      <c r="B11" t="s">
        <v>12</v>
      </c>
      <c r="C11" s="32">
        <v>235.95500000000001</v>
      </c>
      <c r="D11" s="32">
        <v>1158.2809999999999</v>
      </c>
      <c r="E11" s="32">
        <v>2781.03</v>
      </c>
      <c r="F11" s="32">
        <v>5119.2349999999997</v>
      </c>
      <c r="G11" s="32">
        <v>7228.0429999999997</v>
      </c>
      <c r="H11" s="32">
        <v>7766.8389999999999</v>
      </c>
      <c r="I11" s="32">
        <v>8277.0310000000009</v>
      </c>
      <c r="J11" s="32">
        <v>9133.3250000000007</v>
      </c>
      <c r="K11" s="32">
        <v>9985.8369999999995</v>
      </c>
      <c r="L11" s="32">
        <v>11363.546</v>
      </c>
    </row>
    <row r="12" spans="1:12" ht="15" customHeight="1" x14ac:dyDescent="0.3">
      <c r="B12" t="s">
        <v>13</v>
      </c>
      <c r="C12" s="33">
        <v>28.963000000000001</v>
      </c>
      <c r="D12" s="33">
        <v>144.72999999999999</v>
      </c>
      <c r="E12" s="33">
        <v>357.57</v>
      </c>
      <c r="F12" s="33">
        <v>657.92200000000003</v>
      </c>
      <c r="G12" s="33">
        <v>958.24</v>
      </c>
      <c r="H12" s="33">
        <v>1054.799</v>
      </c>
      <c r="I12" s="33">
        <v>1203.404</v>
      </c>
      <c r="J12" s="33">
        <v>1359.299</v>
      </c>
      <c r="K12" s="33">
        <v>1518.895</v>
      </c>
      <c r="L12" s="33">
        <v>1682.2550000000001</v>
      </c>
    </row>
    <row r="13" spans="1:12" ht="15" customHeight="1" x14ac:dyDescent="0.3">
      <c r="A13" t="s">
        <v>28</v>
      </c>
      <c r="C13" s="36">
        <f>SUM(C11:C12)</f>
        <v>264.91800000000001</v>
      </c>
      <c r="D13" s="36">
        <f t="shared" ref="D13:E13" si="4">SUM(D11:D12)</f>
        <v>1303.011</v>
      </c>
      <c r="E13" s="36">
        <f t="shared" si="4"/>
        <v>3138.6000000000004</v>
      </c>
      <c r="F13" s="36">
        <f t="shared" ref="F13:L13" si="5">SUM(F11:F12)</f>
        <v>5777.1569999999992</v>
      </c>
      <c r="G13" s="36">
        <f t="shared" si="5"/>
        <v>8186.2829999999994</v>
      </c>
      <c r="H13" s="36">
        <f t="shared" si="5"/>
        <v>8821.637999999999</v>
      </c>
      <c r="I13" s="36">
        <f t="shared" si="5"/>
        <v>9480.4350000000013</v>
      </c>
      <c r="J13" s="36">
        <f t="shared" si="5"/>
        <v>10492.624</v>
      </c>
      <c r="K13" s="36">
        <f t="shared" si="5"/>
        <v>11504.732</v>
      </c>
      <c r="L13" s="36">
        <f t="shared" si="5"/>
        <v>13045.800999999999</v>
      </c>
    </row>
    <row r="14" spans="1:12" ht="15" customHeight="1" x14ac:dyDescent="0.3">
      <c r="B14" t="s">
        <v>29</v>
      </c>
      <c r="C14" s="34">
        <v>0</v>
      </c>
      <c r="D14" s="34">
        <v>0</v>
      </c>
      <c r="E14" s="34">
        <v>0</v>
      </c>
      <c r="F14" s="34">
        <v>0</v>
      </c>
      <c r="G14" s="34">
        <v>0</v>
      </c>
      <c r="H14" s="34">
        <v>0</v>
      </c>
      <c r="I14" s="34">
        <v>0</v>
      </c>
      <c r="J14" s="34">
        <v>0</v>
      </c>
      <c r="K14" s="34">
        <v>0</v>
      </c>
      <c r="L14" s="34">
        <v>0</v>
      </c>
    </row>
    <row r="15" spans="1:12" ht="15" customHeight="1" x14ac:dyDescent="0.3">
      <c r="B15" t="s">
        <v>30</v>
      </c>
      <c r="C15" s="35">
        <v>763.923</v>
      </c>
      <c r="D15" s="35">
        <v>4060.6669999999999</v>
      </c>
      <c r="E15" s="35">
        <v>11524.831</v>
      </c>
      <c r="F15" s="35">
        <v>23292.955999999998</v>
      </c>
      <c r="G15" s="35">
        <v>37731.97</v>
      </c>
      <c r="H15" s="35">
        <v>45078.623</v>
      </c>
      <c r="I15" s="35">
        <v>49565.438999999998</v>
      </c>
      <c r="J15" s="35">
        <v>56779.394999999997</v>
      </c>
      <c r="K15" s="35">
        <v>63273.946000000004</v>
      </c>
      <c r="L15" s="35">
        <v>72417.235000000001</v>
      </c>
    </row>
    <row r="16" spans="1:12" ht="15" customHeight="1" x14ac:dyDescent="0.3">
      <c r="A16" t="s">
        <v>31</v>
      </c>
      <c r="C16" s="37">
        <f>SUM(C13:C15)</f>
        <v>1028.8409999999999</v>
      </c>
      <c r="D16" s="37">
        <f t="shared" ref="D16:E16" si="6">SUM(D13:D15)</f>
        <v>5363.6779999999999</v>
      </c>
      <c r="E16" s="37">
        <f t="shared" si="6"/>
        <v>14663.431</v>
      </c>
      <c r="F16" s="37">
        <f t="shared" ref="F16:L16" si="7">SUM(F13:F15)</f>
        <v>29070.112999999998</v>
      </c>
      <c r="G16" s="37">
        <f t="shared" si="7"/>
        <v>45918.252999999997</v>
      </c>
      <c r="H16" s="37">
        <f t="shared" si="7"/>
        <v>53900.260999999999</v>
      </c>
      <c r="I16" s="37">
        <f t="shared" si="7"/>
        <v>59045.873999999996</v>
      </c>
      <c r="J16" s="37">
        <f t="shared" si="7"/>
        <v>67272.019</v>
      </c>
      <c r="K16" s="37">
        <f t="shared" si="7"/>
        <v>74778.678</v>
      </c>
      <c r="L16" s="37">
        <f t="shared" si="7"/>
        <v>85463.035999999993</v>
      </c>
    </row>
    <row r="17" spans="2:12" ht="15" customHeight="1" x14ac:dyDescent="0.3">
      <c r="C17" s="7"/>
      <c r="D17" s="7"/>
      <c r="E17" s="7"/>
      <c r="F17" s="7"/>
      <c r="G17" s="7"/>
      <c r="H17" s="7"/>
      <c r="I17" s="7"/>
      <c r="J17" s="7"/>
      <c r="K17" s="7"/>
      <c r="L17" s="7"/>
    </row>
    <row r="18" spans="2:12" ht="15" customHeight="1" x14ac:dyDescent="0.3">
      <c r="B18" t="s">
        <v>34</v>
      </c>
      <c r="C18" s="7" t="str">
        <f t="shared" ref="C18:L18" si="8">IF(ABS(C8-C16)&gt;0.01,"ERROR","")</f>
        <v/>
      </c>
      <c r="D18" s="7" t="str">
        <f t="shared" si="8"/>
        <v/>
      </c>
      <c r="E18" s="7" t="str">
        <f t="shared" si="8"/>
        <v/>
      </c>
      <c r="F18" s="7" t="str">
        <f t="shared" si="8"/>
        <v/>
      </c>
      <c r="G18" s="7" t="str">
        <f t="shared" si="8"/>
        <v/>
      </c>
      <c r="H18" s="7" t="str">
        <f t="shared" si="8"/>
        <v/>
      </c>
      <c r="I18" s="7" t="str">
        <f t="shared" si="8"/>
        <v/>
      </c>
      <c r="J18" s="7" t="str">
        <f t="shared" si="8"/>
        <v/>
      </c>
      <c r="K18" s="7" t="str">
        <f t="shared" si="8"/>
        <v/>
      </c>
      <c r="L18" s="7" t="str">
        <f t="shared" si="8"/>
        <v/>
      </c>
    </row>
  </sheetData>
  <pageMargins left="0.7" right="0.7" top="0.75" bottom="0.75" header="0.3" footer="0.3"/>
  <pageSetup scale="62"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100"/>
  <sheetViews>
    <sheetView zoomScaleNormal="100" zoomScalePageLayoutView="125" workbookViewId="0">
      <pane xSplit="4" ySplit="2" topLeftCell="E3" activePane="bottomRight" state="frozen"/>
      <selection activeCell="A9" sqref="A9"/>
      <selection pane="topRight" activeCell="A9" sqref="A9"/>
      <selection pane="bottomLeft" activeCell="A9" sqref="A9"/>
      <selection pane="bottomRight" activeCell="R22" sqref="R22"/>
    </sheetView>
  </sheetViews>
  <sheetFormatPr defaultColWidth="8.77734375" defaultRowHeight="14.4" x14ac:dyDescent="0.3"/>
  <cols>
    <col min="1" max="1" width="4.44140625" customWidth="1"/>
    <col min="2" max="2" width="12.77734375" customWidth="1"/>
    <col min="3" max="3" width="3.77734375" customWidth="1"/>
    <col min="4" max="4" width="6.77734375" customWidth="1"/>
    <col min="5" max="20" width="6.21875" customWidth="1"/>
  </cols>
  <sheetData>
    <row r="1" spans="1:23" ht="18" x14ac:dyDescent="0.35">
      <c r="A1" s="10" t="s">
        <v>70</v>
      </c>
    </row>
    <row r="2" spans="1:23" ht="14.1" customHeight="1" x14ac:dyDescent="0.3">
      <c r="A2" s="48"/>
      <c r="B2" s="48"/>
      <c r="C2" s="62" t="s">
        <v>49</v>
      </c>
      <c r="D2" s="62" t="s">
        <v>23</v>
      </c>
      <c r="E2" s="48"/>
      <c r="F2" s="49">
        <v>2004</v>
      </c>
      <c r="G2" s="49">
        <v>2005</v>
      </c>
      <c r="H2" s="49">
        <v>2006</v>
      </c>
      <c r="I2" s="49">
        <v>2007</v>
      </c>
      <c r="J2" s="49">
        <v>2008</v>
      </c>
      <c r="K2" s="49">
        <v>2009</v>
      </c>
      <c r="L2" s="49">
        <v>2010</v>
      </c>
      <c r="M2" s="49">
        <v>2011</v>
      </c>
      <c r="N2" s="49">
        <v>2012</v>
      </c>
      <c r="O2" s="50">
        <v>2013</v>
      </c>
      <c r="P2" s="50">
        <v>2014</v>
      </c>
      <c r="Q2" s="50">
        <v>2015</v>
      </c>
      <c r="R2" s="50">
        <v>2016</v>
      </c>
      <c r="S2" s="50">
        <v>2017</v>
      </c>
      <c r="T2" s="50">
        <v>2018</v>
      </c>
      <c r="U2" s="50"/>
      <c r="V2" s="50"/>
    </row>
    <row r="3" spans="1:23" ht="14.1" customHeight="1" x14ac:dyDescent="0.3">
      <c r="A3" s="78">
        <v>2003</v>
      </c>
      <c r="B3" s="53"/>
      <c r="C3" s="54">
        <v>1</v>
      </c>
      <c r="D3" s="55">
        <v>17200</v>
      </c>
      <c r="E3" s="53"/>
      <c r="F3" s="53">
        <v>1</v>
      </c>
      <c r="G3" s="53">
        <v>2</v>
      </c>
      <c r="H3" s="53">
        <v>3</v>
      </c>
      <c r="I3" s="53">
        <v>4</v>
      </c>
      <c r="J3" s="53">
        <v>5</v>
      </c>
      <c r="K3" s="53">
        <v>6</v>
      </c>
      <c r="L3" s="53">
        <v>7</v>
      </c>
      <c r="M3" s="53">
        <v>8</v>
      </c>
      <c r="N3" s="53">
        <v>9</v>
      </c>
      <c r="O3" s="53">
        <v>10</v>
      </c>
      <c r="P3" s="53">
        <v>11</v>
      </c>
      <c r="Q3" s="53">
        <v>12</v>
      </c>
      <c r="R3" s="53">
        <v>13</v>
      </c>
      <c r="S3" s="53">
        <v>14</v>
      </c>
      <c r="T3" s="53">
        <v>15</v>
      </c>
      <c r="U3" s="53"/>
      <c r="V3" s="53"/>
    </row>
    <row r="4" spans="1:23" ht="14.1" customHeight="1" x14ac:dyDescent="0.3">
      <c r="A4" s="62"/>
      <c r="B4" s="48" t="s">
        <v>0</v>
      </c>
      <c r="C4" s="48"/>
      <c r="D4" s="52"/>
      <c r="E4" s="48"/>
      <c r="F4" s="57">
        <v>2056.5</v>
      </c>
      <c r="G4" s="57">
        <v>3754</v>
      </c>
      <c r="H4" s="57">
        <v>5223.5</v>
      </c>
      <c r="I4" s="57">
        <v>6147.9</v>
      </c>
      <c r="J4" s="57">
        <v>6341</v>
      </c>
      <c r="K4" s="57">
        <v>5503</v>
      </c>
      <c r="L4" s="57">
        <v>5635.5</v>
      </c>
      <c r="M4" s="57">
        <v>5871</v>
      </c>
      <c r="N4" s="57">
        <v>6034</v>
      </c>
      <c r="O4" s="52">
        <f>N4*(1+HLOOKUP('Exh 5 Stores IS'!O3,'Exh 10 Forecast Parameters'!$A$2:$P$17,2,0))*(1+HLOOKUP(O$2,'Exh 2 Econ Indicators'!$A$2:$S$8,7,0))</f>
        <v>6233.6650599999994</v>
      </c>
      <c r="P4" s="52">
        <f>O4*(1+HLOOKUP('Exh 5 Stores IS'!P3,'Exh 10 Forecast Parameters'!$A$2:$P$17,2,0))*(1+HLOOKUP(P$2,'Exh 2 Econ Indicators'!$A$2:$S$8,7,0))</f>
        <v>6427.4323047250382</v>
      </c>
      <c r="Q4" s="52">
        <f>P4*(1+HLOOKUP('Exh 5 Stores IS'!Q3,'Exh 10 Forecast Parameters'!$A$2:$P$17,2,0))*(1+HLOOKUP(Q$2,'Exh 2 Econ Indicators'!$A$2:$S$8,7,0))</f>
        <v>6614.3291812818325</v>
      </c>
      <c r="R4" s="52">
        <f>Q4*(1+HLOOKUP('Exh 5 Stores IS'!R3,'Exh 10 Forecast Parameters'!$A$2:$P$17,2,0))*(1+HLOOKUP(R$2,'Exh 2 Econ Indicators'!$A$2:$S$8,7,0))</f>
        <v>6793.3923008774937</v>
      </c>
      <c r="S4" s="52">
        <f>R4*(1+HLOOKUP('Exh 5 Stores IS'!S3,'Exh 10 Forecast Parameters'!$A$2:$P$17,2,0))*(1+HLOOKUP(S$2,'Exh 2 Econ Indicators'!$A$2:$S$8,7,0))</f>
        <v>6963.6754722912874</v>
      </c>
      <c r="T4" s="52">
        <f>S4*(1+HLOOKUP('Exh 5 Stores IS'!T3,'Exh 10 Forecast Parameters'!$A$2:$P$17,2,0))*(1+HLOOKUP(T$2,'Exh 2 Econ Indicators'!$A$2:$S$8,7,0))</f>
        <v>7124.2578286823245</v>
      </c>
      <c r="U4" s="52"/>
      <c r="V4" s="52"/>
      <c r="W4" s="52"/>
    </row>
    <row r="5" spans="1:23" ht="14.1" customHeight="1" x14ac:dyDescent="0.3">
      <c r="A5" s="62"/>
      <c r="B5" s="48" t="s">
        <v>1</v>
      </c>
      <c r="C5" s="48"/>
      <c r="D5" s="52"/>
      <c r="E5" s="48"/>
      <c r="F5" s="57">
        <v>1462.9</v>
      </c>
      <c r="G5" s="57">
        <v>2308.9</v>
      </c>
      <c r="H5" s="57">
        <v>3018.3</v>
      </c>
      <c r="I5" s="57">
        <v>2393.6</v>
      </c>
      <c r="J5" s="57">
        <v>2753.3</v>
      </c>
      <c r="K5" s="57">
        <v>2311.1999999999998</v>
      </c>
      <c r="L5" s="57">
        <v>2194.1</v>
      </c>
      <c r="M5" s="57">
        <v>2149.6999999999998</v>
      </c>
      <c r="N5" s="57">
        <v>2416</v>
      </c>
      <c r="O5" s="52">
        <f>O4*HLOOKUP('Exh 5 Stores IS'!O3,'Exh 10 Forecast Parameters'!$A$2:$P$17,3,0)</f>
        <v>2474.7650288199998</v>
      </c>
      <c r="P5" s="52">
        <f>P4*HLOOKUP('Exh 5 Stores IS'!P3,'Exh 10 Forecast Parameters'!$A$2:$P$17,3,0)</f>
        <v>2551.6906249758404</v>
      </c>
      <c r="Q5" s="52">
        <f>Q4*HLOOKUP('Exh 5 Stores IS'!Q3,'Exh 10 Forecast Parameters'!$A$2:$P$17,3,0)</f>
        <v>2625.8886849688874</v>
      </c>
      <c r="R5" s="52">
        <f>R4*HLOOKUP('Exh 5 Stores IS'!R3,'Exh 10 Forecast Parameters'!$A$2:$P$17,3,0)</f>
        <v>2696.9767434483651</v>
      </c>
      <c r="S5" s="52">
        <f>S4*HLOOKUP('Exh 5 Stores IS'!S3,'Exh 10 Forecast Parameters'!$A$2:$P$17,3,0)</f>
        <v>2764.5791624996414</v>
      </c>
      <c r="T5" s="52">
        <f>T4*HLOOKUP('Exh 5 Stores IS'!T3,'Exh 10 Forecast Parameters'!$A$2:$P$17,3,0)</f>
        <v>2828.330357986883</v>
      </c>
      <c r="U5" s="52"/>
      <c r="V5" s="52"/>
      <c r="W5" s="52"/>
    </row>
    <row r="6" spans="1:23" ht="14.1" customHeight="1" x14ac:dyDescent="0.3">
      <c r="A6" s="62"/>
      <c r="B6" s="48" t="s">
        <v>17</v>
      </c>
      <c r="C6" s="48"/>
      <c r="D6" s="52"/>
      <c r="E6" s="48"/>
      <c r="F6" s="57">
        <v>409.5</v>
      </c>
      <c r="G6" s="57">
        <v>640.20000000000005</v>
      </c>
      <c r="H6" s="57">
        <v>856.7</v>
      </c>
      <c r="I6" s="57">
        <v>855.5</v>
      </c>
      <c r="J6" s="57">
        <v>815.1</v>
      </c>
      <c r="K6" s="57">
        <v>765.1</v>
      </c>
      <c r="L6" s="57">
        <v>766.8</v>
      </c>
      <c r="M6" s="57">
        <v>686.6</v>
      </c>
      <c r="N6" s="57">
        <v>791</v>
      </c>
      <c r="O6" s="52">
        <f>O4*HLOOKUP('Exh 5 Stores IS'!O3,'Exh 10 Forecast Parameters'!$A$2:$P$17,4,0)</f>
        <v>847.77844815999993</v>
      </c>
      <c r="P6" s="52">
        <f>P4*HLOOKUP('Exh 5 Stores IS'!P3,'Exh 10 Forecast Parameters'!$A$2:$P$17,4,0)</f>
        <v>874.1307934426053</v>
      </c>
      <c r="Q6" s="52">
        <f>Q4*HLOOKUP('Exh 5 Stores IS'!Q3,'Exh 10 Forecast Parameters'!$A$2:$P$17,4,0)</f>
        <v>899.54876865432925</v>
      </c>
      <c r="R6" s="52">
        <f>R4*HLOOKUP('Exh 5 Stores IS'!R3,'Exh 10 Forecast Parameters'!$A$2:$P$17,4,0)</f>
        <v>923.90135291933916</v>
      </c>
      <c r="S6" s="52">
        <f>S4*HLOOKUP('Exh 5 Stores IS'!S3,'Exh 10 Forecast Parameters'!$A$2:$P$17,4,0)</f>
        <v>947.05986423161517</v>
      </c>
      <c r="T6" s="52">
        <f>T4*HLOOKUP('Exh 5 Stores IS'!T3,'Exh 10 Forecast Parameters'!$A$2:$P$17,4,0)</f>
        <v>968.8990647007962</v>
      </c>
      <c r="U6" s="52"/>
      <c r="V6" s="52"/>
    </row>
    <row r="7" spans="1:23" ht="14.1" customHeight="1" x14ac:dyDescent="0.3">
      <c r="A7" s="62"/>
      <c r="B7" s="48" t="s">
        <v>15</v>
      </c>
      <c r="C7" s="48"/>
      <c r="D7" s="52"/>
      <c r="E7" s="48"/>
      <c r="F7" s="57">
        <v>203.4</v>
      </c>
      <c r="G7" s="57">
        <v>334.1</v>
      </c>
      <c r="H7" s="57">
        <v>399.3</v>
      </c>
      <c r="I7" s="57">
        <v>434.1</v>
      </c>
      <c r="J7" s="57">
        <v>421.9</v>
      </c>
      <c r="K7" s="57">
        <v>422.9</v>
      </c>
      <c r="L7" s="57">
        <v>391</v>
      </c>
      <c r="M7" s="57">
        <v>401.2</v>
      </c>
      <c r="N7" s="57">
        <v>457</v>
      </c>
      <c r="O7" s="52">
        <f>O4*HLOOKUP('Exh 5 Stores IS'!O3,'Exh 10 Forecast Parameters'!$A$2:$P$17,5,0)</f>
        <v>448.82388431999993</v>
      </c>
      <c r="P7" s="52">
        <f>P4*HLOOKUP('Exh 5 Stores IS'!P3,'Exh 10 Forecast Parameters'!$A$2:$P$17,5,0)</f>
        <v>462.77512594020271</v>
      </c>
      <c r="Q7" s="52">
        <f>Q4*HLOOKUP('Exh 5 Stores IS'!Q3,'Exh 10 Forecast Parameters'!$A$2:$P$17,5,0)</f>
        <v>476.2317010522919</v>
      </c>
      <c r="R7" s="52">
        <f>R4*HLOOKUP('Exh 5 Stores IS'!R3,'Exh 10 Forecast Parameters'!$A$2:$P$17,5,0)</f>
        <v>489.12424566317952</v>
      </c>
      <c r="S7" s="52">
        <f>S4*HLOOKUP('Exh 5 Stores IS'!S3,'Exh 10 Forecast Parameters'!$A$2:$P$17,5,0)</f>
        <v>501.38463400497267</v>
      </c>
      <c r="T7" s="52">
        <f>T4*HLOOKUP('Exh 5 Stores IS'!T3,'Exh 10 Forecast Parameters'!$A$2:$P$17,5,0)</f>
        <v>512.94656366512731</v>
      </c>
      <c r="U7" s="52"/>
      <c r="V7" s="52"/>
    </row>
    <row r="8" spans="1:23" ht="14.1" customHeight="1" x14ac:dyDescent="0.3">
      <c r="A8" s="62"/>
      <c r="B8" s="48" t="s">
        <v>16</v>
      </c>
      <c r="C8" s="48"/>
      <c r="D8" s="52"/>
      <c r="E8" s="48"/>
      <c r="F8" s="57">
        <f>SUM('Exh 6 Stores BS'!A4:E4)/5</f>
        <v>71.599999999999994</v>
      </c>
      <c r="G8" s="57">
        <f>SUM('Exh 6 Stores BS'!B4:F4)/5</f>
        <v>71.599999999999994</v>
      </c>
      <c r="H8" s="57">
        <f>SUM('Exh 6 Stores BS'!C4:G4)/5</f>
        <v>71.599999999999994</v>
      </c>
      <c r="I8" s="57">
        <f>SUM('Exh 6 Stores BS'!D4:H4)/5</f>
        <v>71.599999999999994</v>
      </c>
      <c r="J8" s="57">
        <f>SUM('Exh 6 Stores BS'!E4:I4)/5</f>
        <v>71.599999999999994</v>
      </c>
      <c r="K8" s="57">
        <f>SUM('Exh 6 Stores BS'!F4:J4)/5</f>
        <v>0</v>
      </c>
      <c r="L8" s="57">
        <f>SUM('Exh 6 Stores BS'!G4:K4)/5</f>
        <v>0</v>
      </c>
      <c r="M8" s="57">
        <f>SUM('Exh 6 Stores BS'!H4:L4)/5</f>
        <v>0</v>
      </c>
      <c r="N8" s="57">
        <f>SUM('Exh 6 Stores BS'!I4:M4)/5</f>
        <v>64.88</v>
      </c>
      <c r="O8" s="59">
        <v>64.88</v>
      </c>
      <c r="P8" s="59">
        <v>64.88</v>
      </c>
      <c r="Q8" s="59">
        <v>64.88</v>
      </c>
      <c r="R8" s="59">
        <v>64.88</v>
      </c>
      <c r="S8" s="59">
        <v>0</v>
      </c>
      <c r="T8" s="59">
        <v>0</v>
      </c>
      <c r="U8" s="59"/>
      <c r="V8" s="59"/>
    </row>
    <row r="9" spans="1:23" ht="14.1" customHeight="1" x14ac:dyDescent="0.3">
      <c r="A9" s="62"/>
      <c r="B9" s="48" t="s">
        <v>9</v>
      </c>
      <c r="C9" s="48"/>
      <c r="D9" s="52"/>
      <c r="E9" s="60"/>
      <c r="F9" s="57">
        <v>250</v>
      </c>
      <c r="G9" s="57">
        <f>F9</f>
        <v>250</v>
      </c>
      <c r="H9" s="57">
        <f>G9</f>
        <v>250</v>
      </c>
      <c r="I9" s="57">
        <f>H9</f>
        <v>250</v>
      </c>
      <c r="J9" s="57">
        <f>I9</f>
        <v>250</v>
      </c>
      <c r="K9" s="57">
        <f>J9</f>
        <v>250</v>
      </c>
      <c r="L9" s="57">
        <v>302</v>
      </c>
      <c r="M9" s="57">
        <f>L9</f>
        <v>302</v>
      </c>
      <c r="N9" s="57">
        <f>M9</f>
        <v>302</v>
      </c>
      <c r="O9" s="59">
        <f>IF(N9=I9,I9*(1+$D$97)^6,N9)</f>
        <v>302</v>
      </c>
      <c r="P9" s="59">
        <f t="shared" ref="P9:T9" si="0">IF(O9=J9,J9*(1+$D$97)^6,O9)</f>
        <v>302</v>
      </c>
      <c r="Q9" s="59">
        <f t="shared" si="0"/>
        <v>302</v>
      </c>
      <c r="R9" s="59">
        <f t="shared" si="0"/>
        <v>340.10105061772805</v>
      </c>
      <c r="S9" s="59">
        <f t="shared" si="0"/>
        <v>340.10105061772805</v>
      </c>
      <c r="T9" s="59">
        <f t="shared" si="0"/>
        <v>340.10105061772805</v>
      </c>
      <c r="U9" s="56"/>
      <c r="V9" s="56"/>
    </row>
    <row r="10" spans="1:23" ht="14.1" customHeight="1" x14ac:dyDescent="0.3">
      <c r="A10" s="78">
        <v>2004</v>
      </c>
      <c r="B10" s="53"/>
      <c r="C10" s="54">
        <v>3</v>
      </c>
      <c r="D10" s="55">
        <v>17600</v>
      </c>
      <c r="E10" s="53"/>
      <c r="F10" s="53"/>
      <c r="G10" s="53">
        <v>1</v>
      </c>
      <c r="H10" s="53">
        <v>2</v>
      </c>
      <c r="I10" s="53">
        <v>3</v>
      </c>
      <c r="J10" s="53">
        <v>4</v>
      </c>
      <c r="K10" s="53">
        <v>5</v>
      </c>
      <c r="L10" s="53">
        <v>6</v>
      </c>
      <c r="M10" s="53">
        <v>7</v>
      </c>
      <c r="N10" s="53">
        <v>8</v>
      </c>
      <c r="O10" s="53">
        <v>9</v>
      </c>
      <c r="P10" s="53">
        <v>10</v>
      </c>
      <c r="Q10" s="53">
        <v>11</v>
      </c>
      <c r="R10" s="53">
        <v>12</v>
      </c>
      <c r="S10" s="53">
        <v>13</v>
      </c>
      <c r="T10" s="53">
        <v>14</v>
      </c>
      <c r="U10" s="53"/>
      <c r="V10" s="53"/>
    </row>
    <row r="11" spans="1:23" ht="14.1" customHeight="1" x14ac:dyDescent="0.3">
      <c r="A11" s="62"/>
      <c r="B11" s="48" t="s">
        <v>0</v>
      </c>
      <c r="C11" s="48"/>
      <c r="D11" s="52"/>
      <c r="E11" s="48"/>
      <c r="F11" s="48"/>
      <c r="G11" s="57">
        <v>6661</v>
      </c>
      <c r="H11" s="57">
        <v>11907.4</v>
      </c>
      <c r="I11" s="57">
        <v>15157.8</v>
      </c>
      <c r="J11" s="57">
        <v>16487.5</v>
      </c>
      <c r="K11" s="57">
        <v>15445.6</v>
      </c>
      <c r="L11" s="57">
        <v>16187.3</v>
      </c>
      <c r="M11" s="57">
        <v>17278.900000000001</v>
      </c>
      <c r="N11" s="57">
        <v>17868.5</v>
      </c>
      <c r="O11" s="52">
        <f>N11*(1+HLOOKUP('Exh 5 Stores IS'!O10,'Exh 10 Forecast Parameters'!$A$2:$P$17,2,0))*(1+HLOOKUP(O$2,'Exh 2 Econ Indicators'!$A$2:$S$8,7,0))</f>
        <v>18459.768665</v>
      </c>
      <c r="P11" s="52">
        <f>O11*(1+HLOOKUP('Exh 5 Stores IS'!P10,'Exh 10 Forecast Parameters'!$A$2:$P$17,2,0))*(1+HLOOKUP(P$2,'Exh 2 Econ Indicators'!$A$2:$S$8,7,0))</f>
        <v>19033.572114182858</v>
      </c>
      <c r="Q11" s="52">
        <f>P11*(1+HLOOKUP('Exh 5 Stores IS'!Q10,'Exh 10 Forecast Parameters'!$A$2:$P$17,2,0))*(1+HLOOKUP(Q$2,'Exh 2 Econ Indicators'!$A$2:$S$8,7,0))</f>
        <v>19587.030324119063</v>
      </c>
      <c r="R11" s="52">
        <f>Q11*(1+HLOOKUP('Exh 5 Stores IS'!R10,'Exh 10 Forecast Parameters'!$A$2:$P$17,2,0))*(1+HLOOKUP(R$2,'Exh 2 Econ Indicators'!$A$2:$S$8,7,0))</f>
        <v>20117.290409053614</v>
      </c>
      <c r="S11" s="52">
        <f>R11*(1+HLOOKUP('Exh 5 Stores IS'!S10,'Exh 10 Forecast Parameters'!$A$2:$P$17,2,0))*(1+HLOOKUP(S$2,'Exh 2 Econ Indicators'!$A$2:$S$8,7,0))</f>
        <v>20621.550410446951</v>
      </c>
      <c r="T11" s="52">
        <f>S11*(1+HLOOKUP('Exh 5 Stores IS'!T10,'Exh 10 Forecast Parameters'!$A$2:$P$17,2,0))*(1+HLOOKUP(T$2,'Exh 2 Econ Indicators'!$A$2:$S$8,7,0))</f>
        <v>21097.083362911857</v>
      </c>
      <c r="U11" s="52"/>
      <c r="V11" s="52"/>
    </row>
    <row r="12" spans="1:23" ht="14.1" customHeight="1" x14ac:dyDescent="0.3">
      <c r="A12" s="62"/>
      <c r="B12" s="48" t="s">
        <v>1</v>
      </c>
      <c r="C12" s="48"/>
      <c r="D12" s="52"/>
      <c r="E12" s="48"/>
      <c r="F12" s="48"/>
      <c r="G12" s="57">
        <v>4747.8</v>
      </c>
      <c r="H12" s="57">
        <v>7427.7</v>
      </c>
      <c r="I12" s="57">
        <v>7893.7</v>
      </c>
      <c r="J12" s="57">
        <v>7216.3</v>
      </c>
      <c r="K12" s="57">
        <v>6031.4</v>
      </c>
      <c r="L12" s="57">
        <v>6675</v>
      </c>
      <c r="M12" s="57">
        <v>6691.1</v>
      </c>
      <c r="N12" s="57">
        <v>7175.9</v>
      </c>
      <c r="O12" s="52">
        <f>O11*HLOOKUP('Exh 5 Stores IS'!O10,'Exh 10 Forecast Parameters'!$A$2:$P$17,3,0)</f>
        <v>7328.5281600050002</v>
      </c>
      <c r="P12" s="52">
        <f>P11*HLOOKUP('Exh 5 Stores IS'!P10,'Exh 10 Forecast Parameters'!$A$2:$P$17,3,0)</f>
        <v>7556.3281293305954</v>
      </c>
      <c r="Q12" s="52">
        <f>Q11*HLOOKUP('Exh 5 Stores IS'!Q10,'Exh 10 Forecast Parameters'!$A$2:$P$17,3,0)</f>
        <v>7776.0510386752685</v>
      </c>
      <c r="R12" s="52">
        <f>R11*HLOOKUP('Exh 5 Stores IS'!R10,'Exh 10 Forecast Parameters'!$A$2:$P$17,3,0)</f>
        <v>7986.5642923942851</v>
      </c>
      <c r="S12" s="52">
        <f>S11*HLOOKUP('Exh 5 Stores IS'!S10,'Exh 10 Forecast Parameters'!$A$2:$P$17,3,0)</f>
        <v>8186.7555129474404</v>
      </c>
      <c r="T12" s="52">
        <f>T11*HLOOKUP('Exh 5 Stores IS'!T10,'Exh 10 Forecast Parameters'!$A$2:$P$17,3,0)</f>
        <v>8375.5420950760072</v>
      </c>
      <c r="U12" s="52"/>
      <c r="V12" s="52"/>
    </row>
    <row r="13" spans="1:23" ht="14.1" customHeight="1" x14ac:dyDescent="0.3">
      <c r="A13" s="62"/>
      <c r="B13" s="48" t="s">
        <v>17</v>
      </c>
      <c r="C13" s="48"/>
      <c r="D13" s="52"/>
      <c r="E13" s="48"/>
      <c r="F13" s="48"/>
      <c r="G13" s="57">
        <v>1171.3</v>
      </c>
      <c r="H13" s="57">
        <v>2147.6999999999998</v>
      </c>
      <c r="I13" s="57">
        <v>2631.4</v>
      </c>
      <c r="J13" s="57">
        <v>2323.4</v>
      </c>
      <c r="K13" s="57">
        <v>2238.6</v>
      </c>
      <c r="L13" s="57">
        <v>2224.1999999999998</v>
      </c>
      <c r="M13" s="57">
        <v>2394.6999999999998</v>
      </c>
      <c r="N13" s="57">
        <v>2318.6999999999998</v>
      </c>
      <c r="O13" s="52">
        <f>O11*HLOOKUP('Exh 5 Stores IS'!O10,'Exh 10 Forecast Parameters'!$A$2:$P$17,4,0)</f>
        <v>2510.5285384399999</v>
      </c>
      <c r="P13" s="52">
        <f>P11*HLOOKUP('Exh 5 Stores IS'!P10,'Exh 10 Forecast Parameters'!$A$2:$P$17,4,0)</f>
        <v>2588.5658075288688</v>
      </c>
      <c r="Q13" s="52">
        <f>Q11*HLOOKUP('Exh 5 Stores IS'!Q10,'Exh 10 Forecast Parameters'!$A$2:$P$17,4,0)</f>
        <v>2663.8361240801928</v>
      </c>
      <c r="R13" s="52">
        <f>R11*HLOOKUP('Exh 5 Stores IS'!R10,'Exh 10 Forecast Parameters'!$A$2:$P$17,4,0)</f>
        <v>2735.9514956312919</v>
      </c>
      <c r="S13" s="52">
        <f>S11*HLOOKUP('Exh 5 Stores IS'!S10,'Exh 10 Forecast Parameters'!$A$2:$P$17,4,0)</f>
        <v>2804.5308558207857</v>
      </c>
      <c r="T13" s="52">
        <f>T11*HLOOKUP('Exh 5 Stores IS'!T10,'Exh 10 Forecast Parameters'!$A$2:$P$17,4,0)</f>
        <v>2869.203337356013</v>
      </c>
      <c r="U13" s="52"/>
      <c r="V13" s="52"/>
    </row>
    <row r="14" spans="1:23" ht="14.1" customHeight="1" x14ac:dyDescent="0.3">
      <c r="A14" s="62"/>
      <c r="B14" s="48" t="s">
        <v>15</v>
      </c>
      <c r="C14" s="48"/>
      <c r="D14" s="52"/>
      <c r="E14" s="48"/>
      <c r="F14" s="48"/>
      <c r="G14" s="57">
        <v>684.6</v>
      </c>
      <c r="H14" s="57">
        <v>970.6</v>
      </c>
      <c r="I14" s="57">
        <v>1265.5999999999999</v>
      </c>
      <c r="J14" s="57">
        <v>1213</v>
      </c>
      <c r="K14" s="57">
        <v>1235</v>
      </c>
      <c r="L14" s="57">
        <v>1241</v>
      </c>
      <c r="M14" s="57">
        <v>1245</v>
      </c>
      <c r="N14" s="57">
        <v>1287</v>
      </c>
      <c r="O14" s="52">
        <f>O11*HLOOKUP('Exh 5 Stores IS'!O10,'Exh 10 Forecast Parameters'!$A$2:$P$17,5,0)</f>
        <v>1329.1033438799998</v>
      </c>
      <c r="P14" s="52">
        <f>P11*HLOOKUP('Exh 5 Stores IS'!P10,'Exh 10 Forecast Parameters'!$A$2:$P$17,5,0)</f>
        <v>1370.4171922211656</v>
      </c>
      <c r="Q14" s="52">
        <f>Q11*HLOOKUP('Exh 5 Stores IS'!Q10,'Exh 10 Forecast Parameters'!$A$2:$P$17,5,0)</f>
        <v>1410.2661833365723</v>
      </c>
      <c r="R14" s="52">
        <f>R11*HLOOKUP('Exh 5 Stores IS'!R10,'Exh 10 Forecast Parameters'!$A$2:$P$17,5,0)</f>
        <v>1448.44490945186</v>
      </c>
      <c r="S14" s="52">
        <f>S11*HLOOKUP('Exh 5 Stores IS'!S10,'Exh 10 Forecast Parameters'!$A$2:$P$17,5,0)</f>
        <v>1484.7516295521802</v>
      </c>
      <c r="T14" s="52">
        <f>T11*HLOOKUP('Exh 5 Stores IS'!T10,'Exh 10 Forecast Parameters'!$A$2:$P$17,5,0)</f>
        <v>1518.9900021296535</v>
      </c>
      <c r="U14" s="52"/>
      <c r="V14" s="52"/>
    </row>
    <row r="15" spans="1:23" ht="14.1" customHeight="1" x14ac:dyDescent="0.3">
      <c r="A15" s="62"/>
      <c r="B15" s="48" t="s">
        <v>16</v>
      </c>
      <c r="C15" s="48"/>
      <c r="D15" s="52"/>
      <c r="E15" s="48"/>
      <c r="F15" s="56"/>
      <c r="G15" s="57">
        <f>SUM('Exh 6 Stores BS'!B11:F11)/5</f>
        <v>235</v>
      </c>
      <c r="H15" s="57">
        <f>SUM('Exh 6 Stores BS'!C11:G11)/5</f>
        <v>235</v>
      </c>
      <c r="I15" s="57">
        <f>SUM('Exh 6 Stores BS'!D11:H11)/5</f>
        <v>235</v>
      </c>
      <c r="J15" s="57">
        <f>SUM('Exh 6 Stores BS'!E11:I11)/5</f>
        <v>235</v>
      </c>
      <c r="K15" s="57">
        <f>SUM('Exh 6 Stores BS'!F11:J11)/5</f>
        <v>235</v>
      </c>
      <c r="L15" s="57">
        <f>SUM('Exh 6 Stores BS'!G11:K11)/5</f>
        <v>0</v>
      </c>
      <c r="M15" s="57">
        <f>SUM('Exh 6 Stores BS'!H11:L11)/5</f>
        <v>0</v>
      </c>
      <c r="N15" s="57">
        <f>SUM('Exh 6 Stores BS'!I11:M11)/5</f>
        <v>0</v>
      </c>
      <c r="O15" s="56">
        <v>187.12</v>
      </c>
      <c r="P15" s="56">
        <v>187.12</v>
      </c>
      <c r="Q15" s="56">
        <v>187.12</v>
      </c>
      <c r="R15" s="56">
        <v>187.12</v>
      </c>
      <c r="S15" s="56">
        <v>187.12</v>
      </c>
      <c r="T15" s="56">
        <v>0</v>
      </c>
      <c r="U15" s="56"/>
      <c r="V15" s="56"/>
    </row>
    <row r="16" spans="1:23" ht="14.1" customHeight="1" x14ac:dyDescent="0.3">
      <c r="A16" s="62"/>
      <c r="B16" s="48" t="s">
        <v>9</v>
      </c>
      <c r="C16" s="48"/>
      <c r="D16" s="52"/>
      <c r="E16" s="60"/>
      <c r="F16" s="61"/>
      <c r="G16" s="57">
        <v>830</v>
      </c>
      <c r="H16" s="57">
        <f>G16</f>
        <v>830</v>
      </c>
      <c r="I16" s="57">
        <f>H16</f>
        <v>830</v>
      </c>
      <c r="J16" s="57">
        <f>I16</f>
        <v>830</v>
      </c>
      <c r="K16" s="57">
        <f>J16</f>
        <v>830</v>
      </c>
      <c r="L16" s="57">
        <f>K16</f>
        <v>830</v>
      </c>
      <c r="M16" s="57">
        <v>1003</v>
      </c>
      <c r="N16" s="57">
        <f>M16</f>
        <v>1003</v>
      </c>
      <c r="O16" s="59">
        <f>IF(N16=I16,I16*(1+$D$97)^6,N16)</f>
        <v>1003</v>
      </c>
      <c r="P16" s="59">
        <f t="shared" ref="P16" si="1">IF(O16=J16,J16*(1+$D$97)^6,O16)</f>
        <v>1003</v>
      </c>
      <c r="Q16" s="59">
        <f t="shared" ref="Q16" si="2">IF(P16=K16,K16*(1+$D$97)^6,P16)</f>
        <v>1003</v>
      </c>
      <c r="R16" s="59">
        <f t="shared" ref="R16" si="3">IF(Q16=L16,L16*(1+$D$97)^6,Q16)</f>
        <v>1003</v>
      </c>
      <c r="S16" s="59">
        <f t="shared" ref="S16" si="4">IF(R16=M16,M16*(1+$D$97)^6,R16)</f>
        <v>1129.5409065217921</v>
      </c>
      <c r="T16" s="59">
        <f t="shared" ref="T16" si="5">IF(S16=N16,N16*(1+$D$97)^6,S16)</f>
        <v>1129.5409065217921</v>
      </c>
      <c r="U16" s="59"/>
      <c r="V16" s="59"/>
    </row>
    <row r="17" spans="1:22" ht="14.1" customHeight="1" x14ac:dyDescent="0.3">
      <c r="A17" s="78">
        <v>2005</v>
      </c>
      <c r="B17" s="53"/>
      <c r="C17" s="54">
        <v>4</v>
      </c>
      <c r="D17" s="55">
        <v>18500</v>
      </c>
      <c r="E17" s="53"/>
      <c r="F17" s="53"/>
      <c r="G17" s="53"/>
      <c r="H17" s="53">
        <v>1</v>
      </c>
      <c r="I17" s="53">
        <v>2</v>
      </c>
      <c r="J17" s="53">
        <v>3</v>
      </c>
      <c r="K17" s="53">
        <v>4</v>
      </c>
      <c r="L17" s="53">
        <v>5</v>
      </c>
      <c r="M17" s="53">
        <v>6</v>
      </c>
      <c r="N17" s="53">
        <v>7</v>
      </c>
      <c r="O17" s="53">
        <v>8</v>
      </c>
      <c r="P17" s="53">
        <v>9</v>
      </c>
      <c r="Q17" s="53">
        <v>10</v>
      </c>
      <c r="R17" s="53">
        <v>11</v>
      </c>
      <c r="S17" s="53">
        <v>12</v>
      </c>
      <c r="T17" s="53">
        <v>13</v>
      </c>
      <c r="U17" s="53"/>
      <c r="V17" s="53"/>
    </row>
    <row r="18" spans="1:22" ht="14.1" customHeight="1" x14ac:dyDescent="0.3">
      <c r="A18" s="62"/>
      <c r="B18" s="48" t="s">
        <v>0</v>
      </c>
      <c r="C18" s="48"/>
      <c r="D18" s="52"/>
      <c r="E18" s="48"/>
      <c r="F18" s="48"/>
      <c r="G18" s="48"/>
      <c r="H18" s="57">
        <v>9569.7000000000007</v>
      </c>
      <c r="I18" s="57">
        <v>16651</v>
      </c>
      <c r="J18" s="57">
        <v>19785.099999999999</v>
      </c>
      <c r="K18" s="57">
        <v>20950.599999999999</v>
      </c>
      <c r="L18" s="57">
        <v>22847</v>
      </c>
      <c r="M18" s="57">
        <v>24450.9</v>
      </c>
      <c r="N18" s="57">
        <v>24499.4</v>
      </c>
      <c r="O18" s="52">
        <f>N18*(1+HLOOKUP('Exh 5 Stores IS'!O17,'Exh 10 Forecast Parameters'!$A$2:$P$17,2,0))*(1+HLOOKUP(O$2,'Exh 2 Econ Indicators'!$A$2:$S$8,7,0))</f>
        <v>25310.085146000001</v>
      </c>
      <c r="P18" s="52">
        <f>O18*(1+HLOOKUP('Exh 5 Stores IS'!P17,'Exh 10 Forecast Parameters'!$A$2:$P$17,2,0))*(1+HLOOKUP(P$2,'Exh 2 Econ Indicators'!$A$2:$S$8,7,0))</f>
        <v>26096.823832678263</v>
      </c>
      <c r="Q18" s="52">
        <f>P18*(1+HLOOKUP('Exh 5 Stores IS'!Q17,'Exh 10 Forecast Parameters'!$A$2:$P$17,2,0))*(1+HLOOKUP(Q$2,'Exh 2 Econ Indicators'!$A$2:$S$8,7,0))</f>
        <v>26855.667276084878</v>
      </c>
      <c r="R18" s="52">
        <f>Q18*(1+HLOOKUP('Exh 5 Stores IS'!R17,'Exh 10 Forecast Parameters'!$A$2:$P$17,2,0))*(1+HLOOKUP(R$2,'Exh 2 Econ Indicators'!$A$2:$S$8,7,0))</f>
        <v>27582.703900583045</v>
      </c>
      <c r="S18" s="52">
        <f>R18*(1+HLOOKUP('Exh 5 Stores IS'!S17,'Exh 10 Forecast Parameters'!$A$2:$P$17,2,0))*(1+HLOOKUP(S$2,'Exh 2 Econ Indicators'!$A$2:$S$8,7,0))</f>
        <v>28274.091956555058</v>
      </c>
      <c r="T18" s="52">
        <f>S18*(1+HLOOKUP('Exh 5 Stores IS'!T17,'Exh 10 Forecast Parameters'!$A$2:$P$17,2,0))*(1+HLOOKUP(T$2,'Exh 2 Econ Indicators'!$A$2:$S$8,7,0))</f>
        <v>28926.092517073215</v>
      </c>
      <c r="U18" s="52"/>
      <c r="V18" s="52"/>
    </row>
    <row r="19" spans="1:22" ht="14.1" customHeight="1" x14ac:dyDescent="0.3">
      <c r="A19" s="62"/>
      <c r="B19" s="48" t="s">
        <v>1</v>
      </c>
      <c r="C19" s="48"/>
      <c r="D19" s="52"/>
      <c r="E19" s="48"/>
      <c r="F19" s="48"/>
      <c r="G19" s="48"/>
      <c r="H19" s="57">
        <v>6977.8</v>
      </c>
      <c r="I19" s="57">
        <v>10916.8</v>
      </c>
      <c r="J19" s="57">
        <v>11430.2</v>
      </c>
      <c r="K19" s="57">
        <v>8499.1</v>
      </c>
      <c r="L19" s="57">
        <v>9387.2999999999993</v>
      </c>
      <c r="M19" s="57">
        <v>9856.7999999999993</v>
      </c>
      <c r="N19" s="57">
        <v>9041.7999999999993</v>
      </c>
      <c r="O19" s="52">
        <f>O18*HLOOKUP('Exh 5 Stores IS'!O17,'Exh 10 Forecast Parameters'!$A$2:$P$17,3,0)</f>
        <v>10048.103802962001</v>
      </c>
      <c r="P19" s="52">
        <f>P18*HLOOKUP('Exh 5 Stores IS'!P17,'Exh 10 Forecast Parameters'!$A$2:$P$17,3,0)</f>
        <v>10360.43906157327</v>
      </c>
      <c r="Q19" s="52">
        <f>Q18*HLOOKUP('Exh 5 Stores IS'!Q17,'Exh 10 Forecast Parameters'!$A$2:$P$17,3,0)</f>
        <v>10661.699908605697</v>
      </c>
      <c r="R19" s="52">
        <f>R18*HLOOKUP('Exh 5 Stores IS'!R17,'Exh 10 Forecast Parameters'!$A$2:$P$17,3,0)</f>
        <v>10950.33344853147</v>
      </c>
      <c r="S19" s="52">
        <f>S18*HLOOKUP('Exh 5 Stores IS'!S17,'Exh 10 Forecast Parameters'!$A$2:$P$17,3,0)</f>
        <v>11224.814506752358</v>
      </c>
      <c r="T19" s="52">
        <f>T18*HLOOKUP('Exh 5 Stores IS'!T17,'Exh 10 Forecast Parameters'!$A$2:$P$17,3,0)</f>
        <v>11483.658729278068</v>
      </c>
      <c r="U19" s="52"/>
      <c r="V19" s="52"/>
    </row>
    <row r="20" spans="1:22" ht="14.1" customHeight="1" x14ac:dyDescent="0.3">
      <c r="A20" s="62"/>
      <c r="B20" s="48" t="s">
        <v>17</v>
      </c>
      <c r="C20" s="48"/>
      <c r="D20" s="52"/>
      <c r="E20" s="48"/>
      <c r="F20" s="48"/>
      <c r="G20" s="52"/>
      <c r="H20" s="57">
        <v>1953.2</v>
      </c>
      <c r="I20" s="57">
        <v>2976.6</v>
      </c>
      <c r="J20" s="57">
        <v>3371.2</v>
      </c>
      <c r="K20" s="57">
        <v>3039.2</v>
      </c>
      <c r="L20" s="57">
        <v>3020.6</v>
      </c>
      <c r="M20" s="57">
        <v>3228.4</v>
      </c>
      <c r="N20" s="57">
        <v>3693</v>
      </c>
      <c r="O20" s="52">
        <f>O18*HLOOKUP('Exh 5 Stores IS'!O17,'Exh 10 Forecast Parameters'!$A$2:$P$17,4,0)</f>
        <v>3442.1715798560003</v>
      </c>
      <c r="P20" s="52">
        <f>P18*HLOOKUP('Exh 5 Stores IS'!P17,'Exh 10 Forecast Parameters'!$A$2:$P$17,4,0)</f>
        <v>3549.1680412442438</v>
      </c>
      <c r="Q20" s="52">
        <f>Q18*HLOOKUP('Exh 5 Stores IS'!Q17,'Exh 10 Forecast Parameters'!$A$2:$P$17,4,0)</f>
        <v>3652.3707495475437</v>
      </c>
      <c r="R20" s="52">
        <f>R18*HLOOKUP('Exh 5 Stores IS'!R17,'Exh 10 Forecast Parameters'!$A$2:$P$17,4,0)</f>
        <v>3751.2477304792942</v>
      </c>
      <c r="S20" s="52">
        <f>S18*HLOOKUP('Exh 5 Stores IS'!S17,'Exh 10 Forecast Parameters'!$A$2:$P$17,4,0)</f>
        <v>3845.276506091488</v>
      </c>
      <c r="T20" s="52">
        <f>T18*HLOOKUP('Exh 5 Stores IS'!T17,'Exh 10 Forecast Parameters'!$A$2:$P$17,4,0)</f>
        <v>3933.9485823219575</v>
      </c>
      <c r="U20" s="52"/>
      <c r="V20" s="52"/>
    </row>
    <row r="21" spans="1:22" ht="14.1" customHeight="1" x14ac:dyDescent="0.3">
      <c r="A21" s="62"/>
      <c r="B21" s="48" t="s">
        <v>15</v>
      </c>
      <c r="C21" s="48"/>
      <c r="D21" s="52"/>
      <c r="E21" s="48"/>
      <c r="F21" s="48"/>
      <c r="G21" s="52"/>
      <c r="H21" s="57">
        <v>1040.9000000000001</v>
      </c>
      <c r="I21" s="57">
        <v>1487.6</v>
      </c>
      <c r="J21" s="57">
        <v>1587.2</v>
      </c>
      <c r="K21" s="57">
        <v>1598</v>
      </c>
      <c r="L21" s="57">
        <v>1605.4</v>
      </c>
      <c r="M21" s="57">
        <v>1645</v>
      </c>
      <c r="N21" s="57">
        <v>1793.4</v>
      </c>
      <c r="O21" s="52">
        <f>O18*HLOOKUP('Exh 5 Stores IS'!O17,'Exh 10 Forecast Parameters'!$A$2:$P$17,5,0)</f>
        <v>1822.326130512</v>
      </c>
      <c r="P21" s="52">
        <f>P18*HLOOKUP('Exh 5 Stores IS'!P17,'Exh 10 Forecast Parameters'!$A$2:$P$17,5,0)</f>
        <v>1878.9713159528349</v>
      </c>
      <c r="Q21" s="52">
        <f>Q18*HLOOKUP('Exh 5 Stores IS'!Q17,'Exh 10 Forecast Parameters'!$A$2:$P$17,5,0)</f>
        <v>1933.6080438781109</v>
      </c>
      <c r="R21" s="52">
        <f>R18*HLOOKUP('Exh 5 Stores IS'!R17,'Exh 10 Forecast Parameters'!$A$2:$P$17,5,0)</f>
        <v>1985.9546808419791</v>
      </c>
      <c r="S21" s="52">
        <f>S18*HLOOKUP('Exh 5 Stores IS'!S17,'Exh 10 Forecast Parameters'!$A$2:$P$17,5,0)</f>
        <v>2035.7346208719639</v>
      </c>
      <c r="T21" s="52">
        <f>T18*HLOOKUP('Exh 5 Stores IS'!T17,'Exh 10 Forecast Parameters'!$A$2:$P$17,5,0)</f>
        <v>2082.6786612292713</v>
      </c>
      <c r="U21" s="52"/>
      <c r="V21" s="52"/>
    </row>
    <row r="22" spans="1:22" ht="14.1" customHeight="1" x14ac:dyDescent="0.3">
      <c r="A22" s="62"/>
      <c r="B22" s="48" t="s">
        <v>16</v>
      </c>
      <c r="C22" s="48"/>
      <c r="D22" s="52"/>
      <c r="E22" s="48"/>
      <c r="F22" s="56"/>
      <c r="G22" s="56"/>
      <c r="H22" s="57">
        <f>SUM('Exh 6 Stores BS'!C18:G18)/5</f>
        <v>362.8</v>
      </c>
      <c r="I22" s="57">
        <f>SUM('Exh 6 Stores BS'!D18:H18)/5</f>
        <v>362.8</v>
      </c>
      <c r="J22" s="57">
        <f>SUM('Exh 6 Stores BS'!E18:I18)/5</f>
        <v>362.8</v>
      </c>
      <c r="K22" s="57">
        <f>SUM('Exh 6 Stores BS'!F18:J18)/5</f>
        <v>362.8</v>
      </c>
      <c r="L22" s="57">
        <f>SUM('Exh 6 Stores BS'!G18:K18)/5</f>
        <v>362.8</v>
      </c>
      <c r="M22" s="57">
        <f>SUM('Exh 6 Stores BS'!H18:L18)/5</f>
        <v>0</v>
      </c>
      <c r="N22" s="57">
        <f>SUM('Exh 6 Stores BS'!I18:M18)/5</f>
        <v>0</v>
      </c>
      <c r="O22" s="56">
        <v>0</v>
      </c>
      <c r="P22" s="56">
        <v>301.26559479333326</v>
      </c>
      <c r="Q22" s="56">
        <v>301.26559479333326</v>
      </c>
      <c r="R22" s="56">
        <v>301.26559479333326</v>
      </c>
      <c r="S22" s="56">
        <v>301.26559479333326</v>
      </c>
      <c r="T22" s="56">
        <v>301.26559479333326</v>
      </c>
      <c r="U22" s="56"/>
      <c r="V22" s="56"/>
    </row>
    <row r="23" spans="1:22" ht="14.1" customHeight="1" x14ac:dyDescent="0.3">
      <c r="A23" s="62"/>
      <c r="B23" s="48" t="s">
        <v>9</v>
      </c>
      <c r="C23" s="48"/>
      <c r="D23" s="52"/>
      <c r="E23" s="60"/>
      <c r="F23" s="56"/>
      <c r="G23" s="56"/>
      <c r="H23" s="57">
        <v>1250</v>
      </c>
      <c r="I23" s="57">
        <f>H23</f>
        <v>1250</v>
      </c>
      <c r="J23" s="57">
        <f>I23</f>
        <v>1250</v>
      </c>
      <c r="K23" s="57">
        <f>J23</f>
        <v>1250</v>
      </c>
      <c r="L23" s="57">
        <f>K23</f>
        <v>1250</v>
      </c>
      <c r="M23" s="57">
        <f>L23</f>
        <v>1250</v>
      </c>
      <c r="N23" s="57">
        <v>1510</v>
      </c>
      <c r="O23" s="59">
        <f>IF(N23=I23,I23*(1+$D$97)^6,N23)</f>
        <v>1510</v>
      </c>
      <c r="P23" s="59">
        <f t="shared" ref="P23" si="6">IF(O23=J23,J23*(1+$D$97)^6,O23)</f>
        <v>1510</v>
      </c>
      <c r="Q23" s="59">
        <f t="shared" ref="Q23" si="7">IF(P23=K23,K23*(1+$D$97)^6,P23)</f>
        <v>1510</v>
      </c>
      <c r="R23" s="59">
        <f t="shared" ref="R23" si="8">IF(Q23=L23,L23*(1+$D$97)^6,Q23)</f>
        <v>1510</v>
      </c>
      <c r="S23" s="59">
        <f t="shared" ref="S23" si="9">IF(R23=M23,M23*(1+$D$97)^6,R23)</f>
        <v>1510</v>
      </c>
      <c r="T23" s="59">
        <f t="shared" ref="T23" si="10">IF(S23=N23,N23*(1+$D$97)^6,S23)</f>
        <v>1700.5052530886401</v>
      </c>
      <c r="U23" s="56"/>
      <c r="V23" s="59"/>
    </row>
    <row r="24" spans="1:22" ht="14.1" customHeight="1" x14ac:dyDescent="0.3">
      <c r="A24" s="78">
        <v>2006</v>
      </c>
      <c r="B24" s="53"/>
      <c r="C24" s="54">
        <v>5</v>
      </c>
      <c r="D24" s="55">
        <v>21100</v>
      </c>
      <c r="E24" s="53"/>
      <c r="F24" s="53"/>
      <c r="G24" s="53"/>
      <c r="H24" s="53"/>
      <c r="I24" s="53">
        <v>1</v>
      </c>
      <c r="J24" s="53">
        <v>2</v>
      </c>
      <c r="K24" s="53">
        <v>3</v>
      </c>
      <c r="L24" s="53">
        <v>4</v>
      </c>
      <c r="M24" s="53">
        <v>5</v>
      </c>
      <c r="N24" s="53">
        <v>6</v>
      </c>
      <c r="O24" s="53">
        <v>7</v>
      </c>
      <c r="P24" s="53">
        <v>8</v>
      </c>
      <c r="Q24" s="53">
        <v>9</v>
      </c>
      <c r="R24" s="53">
        <v>10</v>
      </c>
      <c r="S24" s="53">
        <v>11</v>
      </c>
      <c r="T24" s="53">
        <v>12</v>
      </c>
      <c r="U24" s="53"/>
      <c r="V24" s="53"/>
    </row>
    <row r="25" spans="1:22" ht="14.1" customHeight="1" x14ac:dyDescent="0.3">
      <c r="A25" s="62"/>
      <c r="B25" s="48" t="s">
        <v>0</v>
      </c>
      <c r="C25" s="48"/>
      <c r="D25" s="52"/>
      <c r="E25" s="48"/>
      <c r="F25" s="48"/>
      <c r="G25" s="48"/>
      <c r="H25" s="48"/>
      <c r="I25" s="57">
        <v>13582.9</v>
      </c>
      <c r="J25" s="57">
        <v>21142</v>
      </c>
      <c r="K25" s="57">
        <v>23592.400000000001</v>
      </c>
      <c r="L25" s="57">
        <v>29701.9</v>
      </c>
      <c r="M25" s="57">
        <v>34105.300000000003</v>
      </c>
      <c r="N25" s="57">
        <v>34824</v>
      </c>
      <c r="O25" s="52">
        <f>N25*(1+HLOOKUP('Exh 5 Stores IS'!O24,'Exh 10 Forecast Parameters'!$A$2:$P$17,2,0))*(1+HLOOKUP(O$2,'Exh 2 Econ Indicators'!$A$2:$S$8,7,0))</f>
        <v>35976.326159999997</v>
      </c>
      <c r="P25" s="52">
        <f>O25*(1+HLOOKUP('Exh 5 Stores IS'!P24,'Exh 10 Forecast Parameters'!$A$2:$P$17,2,0))*(1+HLOOKUP(P$2,'Exh 2 Econ Indicators'!$A$2:$S$8,7,0))</f>
        <v>37094.614282357434</v>
      </c>
      <c r="Q25" s="52">
        <f>P25*(1+HLOOKUP('Exh 5 Stores IS'!Q24,'Exh 10 Forecast Parameters'!$A$2:$P$17,2,0))*(1+HLOOKUP(Q$2,'Exh 2 Econ Indicators'!$A$2:$S$8,7,0))</f>
        <v>38173.251476459824</v>
      </c>
      <c r="R25" s="52">
        <f>Q25*(1+HLOOKUP('Exh 5 Stores IS'!R24,'Exh 10 Forecast Parameters'!$A$2:$P$17,2,0))*(1+HLOOKUP(R$2,'Exh 2 Econ Indicators'!$A$2:$S$8,7,0))</f>
        <v>39206.677740430539</v>
      </c>
      <c r="S25" s="52">
        <f>R25*(1+HLOOKUP('Exh 5 Stores IS'!S24,'Exh 10 Forecast Parameters'!$A$2:$P$17,2,0))*(1+HLOOKUP(S$2,'Exh 2 Econ Indicators'!$A$2:$S$8,7,0))</f>
        <v>40189.432324672169</v>
      </c>
      <c r="T25" s="52">
        <f>S25*(1+HLOOKUP('Exh 5 Stores IS'!T24,'Exh 10 Forecast Parameters'!$A$2:$P$17,2,0))*(1+HLOOKUP(T$2,'Exh 2 Econ Indicators'!$A$2:$S$8,7,0))</f>
        <v>41116.200634079112</v>
      </c>
      <c r="U25" s="52"/>
      <c r="V25" s="52"/>
    </row>
    <row r="26" spans="1:22" ht="14.1" customHeight="1" x14ac:dyDescent="0.3">
      <c r="A26" s="62"/>
      <c r="B26" s="48" t="s">
        <v>1</v>
      </c>
      <c r="C26" s="48"/>
      <c r="D26" s="52"/>
      <c r="E26" s="48"/>
      <c r="F26" s="48"/>
      <c r="G26" s="48"/>
      <c r="H26" s="48"/>
      <c r="I26" s="57">
        <v>9526.1</v>
      </c>
      <c r="J26" s="57">
        <v>11229.4</v>
      </c>
      <c r="K26" s="57">
        <v>13594.4</v>
      </c>
      <c r="L26" s="57">
        <v>9902.2999999999993</v>
      </c>
      <c r="M26" s="57">
        <v>13259</v>
      </c>
      <c r="N26" s="57">
        <v>13931.8</v>
      </c>
      <c r="O26" s="52">
        <f>O25*HLOOKUP('Exh 5 Stores IS'!O24,'Exh 10 Forecast Parameters'!$A$2:$P$17,3,0)</f>
        <v>14282.601485519999</v>
      </c>
      <c r="P26" s="52">
        <f>P25*HLOOKUP('Exh 5 Stores IS'!P24,'Exh 10 Forecast Parameters'!$A$2:$P$17,3,0)</f>
        <v>14726.561870095902</v>
      </c>
      <c r="Q26" s="52">
        <f>Q25*HLOOKUP('Exh 5 Stores IS'!Q24,'Exh 10 Forecast Parameters'!$A$2:$P$17,3,0)</f>
        <v>15154.78083615455</v>
      </c>
      <c r="R26" s="52">
        <f>R25*HLOOKUP('Exh 5 Stores IS'!R24,'Exh 10 Forecast Parameters'!$A$2:$P$17,3,0)</f>
        <v>15565.051062950924</v>
      </c>
      <c r="S26" s="52">
        <f>S25*HLOOKUP('Exh 5 Stores IS'!S24,'Exh 10 Forecast Parameters'!$A$2:$P$17,3,0)</f>
        <v>15955.204632894851</v>
      </c>
      <c r="T26" s="52">
        <f>T25*HLOOKUP('Exh 5 Stores IS'!T24,'Exh 10 Forecast Parameters'!$A$2:$P$17,3,0)</f>
        <v>16323.131651729409</v>
      </c>
      <c r="U26" s="52"/>
      <c r="V26" s="52"/>
    </row>
    <row r="27" spans="1:22" ht="14.1" customHeight="1" x14ac:dyDescent="0.3">
      <c r="A27" s="62"/>
      <c r="B27" s="48" t="s">
        <v>17</v>
      </c>
      <c r="C27" s="48"/>
      <c r="D27" s="52"/>
      <c r="E27" s="48"/>
      <c r="F27" s="48"/>
      <c r="G27" s="52"/>
      <c r="H27" s="52"/>
      <c r="I27" s="57">
        <v>2766.6</v>
      </c>
      <c r="J27" s="57">
        <v>4016.3</v>
      </c>
      <c r="K27" s="57">
        <v>4236.5</v>
      </c>
      <c r="L27" s="57">
        <v>3780.1</v>
      </c>
      <c r="M27" s="57">
        <v>4895.1000000000004</v>
      </c>
      <c r="N27" s="57">
        <v>4946.3</v>
      </c>
      <c r="O27" s="52">
        <f>O25*HLOOKUP('Exh 5 Stores IS'!O24,'Exh 10 Forecast Parameters'!$A$2:$P$17,4,0)</f>
        <v>4892.7803577599998</v>
      </c>
      <c r="P27" s="52">
        <f>P25*HLOOKUP('Exh 5 Stores IS'!P24,'Exh 10 Forecast Parameters'!$A$2:$P$17,4,0)</f>
        <v>5044.8675424006115</v>
      </c>
      <c r="Q27" s="52">
        <f>Q25*HLOOKUP('Exh 5 Stores IS'!Q24,'Exh 10 Forecast Parameters'!$A$2:$P$17,4,0)</f>
        <v>5191.5622007985367</v>
      </c>
      <c r="R27" s="52">
        <f>R25*HLOOKUP('Exh 5 Stores IS'!R24,'Exh 10 Forecast Parameters'!$A$2:$P$17,4,0)</f>
        <v>5332.108172698554</v>
      </c>
      <c r="S27" s="52">
        <f>S25*HLOOKUP('Exh 5 Stores IS'!S24,'Exh 10 Forecast Parameters'!$A$2:$P$17,4,0)</f>
        <v>5465.7627961554153</v>
      </c>
      <c r="T27" s="52">
        <f>T25*HLOOKUP('Exh 5 Stores IS'!T24,'Exh 10 Forecast Parameters'!$A$2:$P$17,4,0)</f>
        <v>5591.80328623476</v>
      </c>
      <c r="U27" s="52"/>
      <c r="V27" s="52"/>
    </row>
    <row r="28" spans="1:22" ht="14.1" customHeight="1" x14ac:dyDescent="0.3">
      <c r="A28" s="62"/>
      <c r="B28" s="48" t="s">
        <v>15</v>
      </c>
      <c r="C28" s="48"/>
      <c r="D28" s="52"/>
      <c r="E28" s="48"/>
      <c r="F28" s="48"/>
      <c r="G28" s="52"/>
      <c r="H28" s="52"/>
      <c r="I28" s="57">
        <v>1400.2</v>
      </c>
      <c r="J28" s="57">
        <v>1784.1</v>
      </c>
      <c r="K28" s="57">
        <v>1963.8</v>
      </c>
      <c r="L28" s="57">
        <v>2013.8</v>
      </c>
      <c r="M28" s="57">
        <v>2327.3000000000002</v>
      </c>
      <c r="N28" s="57">
        <v>2287.3000000000002</v>
      </c>
      <c r="O28" s="52">
        <f>O25*HLOOKUP('Exh 5 Stores IS'!O24,'Exh 10 Forecast Parameters'!$A$2:$P$17,5,0)</f>
        <v>2590.2954835199994</v>
      </c>
      <c r="P28" s="52">
        <f>P25*HLOOKUP('Exh 5 Stores IS'!P24,'Exh 10 Forecast Parameters'!$A$2:$P$17,5,0)</f>
        <v>2670.8122283297348</v>
      </c>
      <c r="Q28" s="52">
        <f>Q25*HLOOKUP('Exh 5 Stores IS'!Q24,'Exh 10 Forecast Parameters'!$A$2:$P$17,5,0)</f>
        <v>2748.4741063051069</v>
      </c>
      <c r="R28" s="52">
        <f>R25*HLOOKUP('Exh 5 Stores IS'!R24,'Exh 10 Forecast Parameters'!$A$2:$P$17,5,0)</f>
        <v>2822.8807973109988</v>
      </c>
      <c r="S28" s="52">
        <f>S25*HLOOKUP('Exh 5 Stores IS'!S24,'Exh 10 Forecast Parameters'!$A$2:$P$17,5,0)</f>
        <v>2893.6391273763961</v>
      </c>
      <c r="T28" s="52">
        <f>T25*HLOOKUP('Exh 5 Stores IS'!T24,'Exh 10 Forecast Parameters'!$A$2:$P$17,5,0)</f>
        <v>2960.3664456536958</v>
      </c>
      <c r="U28" s="52"/>
      <c r="V28" s="52"/>
    </row>
    <row r="29" spans="1:22" ht="14.1" customHeight="1" x14ac:dyDescent="0.3">
      <c r="A29" s="62"/>
      <c r="B29" s="48" t="s">
        <v>16</v>
      </c>
      <c r="C29" s="48"/>
      <c r="D29" s="52"/>
      <c r="E29" s="48"/>
      <c r="F29" s="56"/>
      <c r="G29" s="56"/>
      <c r="H29" s="56"/>
      <c r="I29" s="57">
        <f>SUM('Exh 6 Stores BS'!D25:H25)/5</f>
        <v>594.20000000000005</v>
      </c>
      <c r="J29" s="57">
        <f>SUM('Exh 6 Stores BS'!E25:I25)/5</f>
        <v>594.20000000000005</v>
      </c>
      <c r="K29" s="57">
        <f>SUM('Exh 6 Stores BS'!F25:J25)/5</f>
        <v>594.20000000000005</v>
      </c>
      <c r="L29" s="57">
        <f>SUM('Exh 6 Stores BS'!G25:K25)/5</f>
        <v>594.20000000000005</v>
      </c>
      <c r="M29" s="57">
        <f>SUM('Exh 6 Stores BS'!H25:L25)/5</f>
        <v>594.20000000000005</v>
      </c>
      <c r="N29" s="57">
        <f>SUM('Exh 6 Stores BS'!I25:M25)/5</f>
        <v>0</v>
      </c>
      <c r="O29" s="56">
        <v>0</v>
      </c>
      <c r="P29" s="56">
        <v>0</v>
      </c>
      <c r="Q29" s="56">
        <v>489.9020714909164</v>
      </c>
      <c r="R29" s="56">
        <v>489.9020714909164</v>
      </c>
      <c r="S29" s="56">
        <v>489.9020714909164</v>
      </c>
      <c r="T29" s="56">
        <v>489.9020714909164</v>
      </c>
      <c r="U29" s="56"/>
      <c r="V29" s="56"/>
    </row>
    <row r="30" spans="1:22" ht="14.1" customHeight="1" x14ac:dyDescent="0.3">
      <c r="A30" s="62"/>
      <c r="B30" s="48" t="s">
        <v>9</v>
      </c>
      <c r="C30" s="48"/>
      <c r="D30" s="52"/>
      <c r="E30" s="60"/>
      <c r="F30" s="56"/>
      <c r="G30" s="56"/>
      <c r="H30" s="56"/>
      <c r="I30" s="57">
        <v>1910</v>
      </c>
      <c r="J30" s="57">
        <f>I30</f>
        <v>1910</v>
      </c>
      <c r="K30" s="57">
        <f>J30</f>
        <v>1910</v>
      </c>
      <c r="L30" s="57">
        <f>K30</f>
        <v>1910</v>
      </c>
      <c r="M30" s="57">
        <f>L30</f>
        <v>1910</v>
      </c>
      <c r="N30" s="57">
        <f>M30</f>
        <v>1910</v>
      </c>
      <c r="O30" s="59">
        <f>IF(N30=I30,I30*(1+$D$97)^6,N30)</f>
        <v>2150.97022079424</v>
      </c>
      <c r="P30" s="59">
        <f t="shared" ref="P30" si="11">IF(O30=J30,J30*(1+$D$97)^6,O30)</f>
        <v>2150.97022079424</v>
      </c>
      <c r="Q30" s="59">
        <f t="shared" ref="Q30" si="12">IF(P30=K30,K30*(1+$D$97)^6,P30)</f>
        <v>2150.97022079424</v>
      </c>
      <c r="R30" s="59">
        <f t="shared" ref="R30" si="13">IF(Q30=L30,L30*(1+$D$97)^6,Q30)</f>
        <v>2150.97022079424</v>
      </c>
      <c r="S30" s="59">
        <f t="shared" ref="S30" si="14">IF(R30=M30,M30*(1+$D$97)^6,R30)</f>
        <v>2150.97022079424</v>
      </c>
      <c r="T30" s="59">
        <f t="shared" ref="T30" si="15">IF(S30=N30,N30*(1+$D$97)^6,S30)</f>
        <v>2150.97022079424</v>
      </c>
      <c r="U30" s="59"/>
      <c r="V30" s="56"/>
    </row>
    <row r="31" spans="1:22" ht="14.1" customHeight="1" x14ac:dyDescent="0.3">
      <c r="A31" s="78">
        <v>2007</v>
      </c>
      <c r="B31" s="53"/>
      <c r="C31" s="54">
        <v>6</v>
      </c>
      <c r="D31" s="55">
        <v>22100</v>
      </c>
      <c r="E31" s="53"/>
      <c r="F31" s="53"/>
      <c r="G31" s="53"/>
      <c r="H31" s="53"/>
      <c r="I31" s="53"/>
      <c r="J31" s="53">
        <v>1</v>
      </c>
      <c r="K31" s="53">
        <v>2</v>
      </c>
      <c r="L31" s="53">
        <v>3</v>
      </c>
      <c r="M31" s="53">
        <v>4</v>
      </c>
      <c r="N31" s="53">
        <v>5</v>
      </c>
      <c r="O31" s="53">
        <v>6</v>
      </c>
      <c r="P31" s="53">
        <v>7</v>
      </c>
      <c r="Q31" s="53">
        <v>8</v>
      </c>
      <c r="R31" s="53">
        <v>9</v>
      </c>
      <c r="S31" s="53">
        <v>10</v>
      </c>
      <c r="T31" s="53">
        <v>11</v>
      </c>
      <c r="U31" s="53"/>
      <c r="V31" s="53"/>
    </row>
    <row r="32" spans="1:22" ht="14.1" customHeight="1" x14ac:dyDescent="0.3">
      <c r="A32" s="62"/>
      <c r="B32" s="48" t="s">
        <v>0</v>
      </c>
      <c r="C32" s="48"/>
      <c r="D32" s="52"/>
      <c r="E32" s="48"/>
      <c r="F32" s="48"/>
      <c r="G32" s="48"/>
      <c r="H32" s="48"/>
      <c r="I32" s="48"/>
      <c r="J32" s="57">
        <v>15435.4</v>
      </c>
      <c r="K32" s="57">
        <v>22001</v>
      </c>
      <c r="L32" s="57">
        <v>30465.9</v>
      </c>
      <c r="M32" s="57">
        <v>39628.199999999997</v>
      </c>
      <c r="N32" s="57">
        <v>43541</v>
      </c>
      <c r="O32" s="52">
        <f>N32*(1+HLOOKUP('Exh 5 Stores IS'!O31,'Exh 10 Forecast Parameters'!$A$2:$P$17,2,0))*(1+HLOOKUP(O$2,'Exh 2 Econ Indicators'!$A$2:$S$8,7,0))</f>
        <v>45519.938450000001</v>
      </c>
      <c r="P32" s="52">
        <f>O32*(1+HLOOKUP('Exh 5 Stores IS'!P31,'Exh 10 Forecast Parameters'!$A$2:$P$17,2,0))*(1+HLOOKUP(P$2,'Exh 2 Econ Indicators'!$A$2:$S$8,7,0))</f>
        <v>46934.880216779799</v>
      </c>
      <c r="Q32" s="52">
        <f>P32*(1+HLOOKUP('Exh 5 Stores IS'!Q31,'Exh 10 Forecast Parameters'!$A$2:$P$17,2,0))*(1+HLOOKUP(Q$2,'Exh 2 Econ Indicators'!$A$2:$S$8,7,0))</f>
        <v>48299.652663723318</v>
      </c>
      <c r="R32" s="52">
        <f>Q32*(1+HLOOKUP('Exh 5 Stores IS'!R31,'Exh 10 Forecast Parameters'!$A$2:$P$17,2,0))*(1+HLOOKUP(R$2,'Exh 2 Econ Indicators'!$A$2:$S$8,7,0))</f>
        <v>49607.220860635629</v>
      </c>
      <c r="S32" s="52">
        <f>R32*(1+HLOOKUP('Exh 5 Stores IS'!S31,'Exh 10 Forecast Parameters'!$A$2:$P$17,2,0))*(1+HLOOKUP(S$2,'Exh 2 Econ Indicators'!$A$2:$S$8,7,0))</f>
        <v>50850.675458728321</v>
      </c>
      <c r="T32" s="52">
        <f>S32*(1+HLOOKUP('Exh 5 Stores IS'!T31,'Exh 10 Forecast Parameters'!$A$2:$P$17,2,0))*(1+HLOOKUP(T$2,'Exh 2 Econ Indicators'!$A$2:$S$8,7,0))</f>
        <v>52023.292034806589</v>
      </c>
      <c r="U32" s="52"/>
      <c r="V32" s="52"/>
    </row>
    <row r="33" spans="1:22" ht="14.1" customHeight="1" x14ac:dyDescent="0.3">
      <c r="A33" s="62"/>
      <c r="B33" s="48" t="s">
        <v>1</v>
      </c>
      <c r="C33" s="48"/>
      <c r="D33" s="52"/>
      <c r="E33" s="48"/>
      <c r="F33" s="48"/>
      <c r="G33" s="48"/>
      <c r="H33" s="48"/>
      <c r="I33" s="48"/>
      <c r="J33" s="57">
        <v>11204.6</v>
      </c>
      <c r="K33" s="57">
        <v>14800.5</v>
      </c>
      <c r="L33" s="57">
        <v>16421.7</v>
      </c>
      <c r="M33" s="57">
        <v>15231.6</v>
      </c>
      <c r="N33" s="57">
        <v>17855.8</v>
      </c>
      <c r="O33" s="52">
        <f>O32*HLOOKUP('Exh 5 Stores IS'!O31,'Exh 10 Forecast Parameters'!$A$2:$P$17,3,0)</f>
        <v>18071.41556465</v>
      </c>
      <c r="P33" s="52">
        <f>P32*HLOOKUP('Exh 5 Stores IS'!P31,'Exh 10 Forecast Parameters'!$A$2:$P$17,3,0)</f>
        <v>18633.147446061579</v>
      </c>
      <c r="Q33" s="52">
        <f>Q32*HLOOKUP('Exh 5 Stores IS'!Q31,'Exh 10 Forecast Parameters'!$A$2:$P$17,3,0)</f>
        <v>19174.962107498159</v>
      </c>
      <c r="R33" s="52">
        <f>R32*HLOOKUP('Exh 5 Stores IS'!R31,'Exh 10 Forecast Parameters'!$A$2:$P$17,3,0)</f>
        <v>19694.066681672346</v>
      </c>
      <c r="S33" s="52">
        <f>S32*HLOOKUP('Exh 5 Stores IS'!S31,'Exh 10 Forecast Parameters'!$A$2:$P$17,3,0)</f>
        <v>20187.718157115145</v>
      </c>
      <c r="T33" s="52">
        <f>T32*HLOOKUP('Exh 5 Stores IS'!T31,'Exh 10 Forecast Parameters'!$A$2:$P$17,3,0)</f>
        <v>20653.246937818218</v>
      </c>
      <c r="U33" s="52"/>
      <c r="V33" s="52"/>
    </row>
    <row r="34" spans="1:22" ht="14.1" customHeight="1" x14ac:dyDescent="0.3">
      <c r="A34" s="62"/>
      <c r="B34" s="48" t="s">
        <v>17</v>
      </c>
      <c r="C34" s="48"/>
      <c r="D34" s="52"/>
      <c r="E34" s="48"/>
      <c r="F34" s="48"/>
      <c r="G34" s="52"/>
      <c r="H34" s="52"/>
      <c r="I34" s="52"/>
      <c r="J34" s="57">
        <v>3050.4</v>
      </c>
      <c r="K34" s="57">
        <v>3877.8</v>
      </c>
      <c r="L34" s="57">
        <v>5471</v>
      </c>
      <c r="M34" s="57">
        <v>5165.7</v>
      </c>
      <c r="N34" s="57">
        <v>5916.9</v>
      </c>
      <c r="O34" s="52">
        <f>O32*HLOOKUP('Exh 5 Stores IS'!O31,'Exh 10 Forecast Parameters'!$A$2:$P$17,4,0)</f>
        <v>6190.711629200001</v>
      </c>
      <c r="P34" s="52">
        <f>P32*HLOOKUP('Exh 5 Stores IS'!P31,'Exh 10 Forecast Parameters'!$A$2:$P$17,4,0)</f>
        <v>6383.1437094820531</v>
      </c>
      <c r="Q34" s="52">
        <f>Q32*HLOOKUP('Exh 5 Stores IS'!Q31,'Exh 10 Forecast Parameters'!$A$2:$P$17,4,0)</f>
        <v>6568.752762266372</v>
      </c>
      <c r="R34" s="52">
        <f>R32*HLOOKUP('Exh 5 Stores IS'!R31,'Exh 10 Forecast Parameters'!$A$2:$P$17,4,0)</f>
        <v>6746.5820370464462</v>
      </c>
      <c r="S34" s="52">
        <f>S32*HLOOKUP('Exh 5 Stores IS'!S31,'Exh 10 Forecast Parameters'!$A$2:$P$17,4,0)</f>
        <v>6915.6918623870524</v>
      </c>
      <c r="T34" s="52">
        <f>T32*HLOOKUP('Exh 5 Stores IS'!T31,'Exh 10 Forecast Parameters'!$A$2:$P$17,4,0)</f>
        <v>7075.1677167336966</v>
      </c>
      <c r="U34" s="52"/>
      <c r="V34" s="52"/>
    </row>
    <row r="35" spans="1:22" ht="14.1" customHeight="1" x14ac:dyDescent="0.3">
      <c r="A35" s="62"/>
      <c r="B35" s="48" t="s">
        <v>15</v>
      </c>
      <c r="C35" s="48"/>
      <c r="D35" s="52"/>
      <c r="E35" s="48"/>
      <c r="F35" s="48"/>
      <c r="G35" s="52"/>
      <c r="H35" s="52"/>
      <c r="I35" s="52"/>
      <c r="J35" s="57">
        <v>1578.4</v>
      </c>
      <c r="K35" s="57">
        <v>1986.3</v>
      </c>
      <c r="L35" s="57">
        <v>2458.4</v>
      </c>
      <c r="M35" s="57">
        <v>2748</v>
      </c>
      <c r="N35" s="57">
        <v>3109.4</v>
      </c>
      <c r="O35" s="52">
        <f>O32*HLOOKUP('Exh 5 Stores IS'!O31,'Exh 10 Forecast Parameters'!$A$2:$P$17,5,0)</f>
        <v>3277.4355683999997</v>
      </c>
      <c r="P35" s="52">
        <f>P32*HLOOKUP('Exh 5 Stores IS'!P31,'Exh 10 Forecast Parameters'!$A$2:$P$17,5,0)</f>
        <v>3379.3113756081452</v>
      </c>
      <c r="Q35" s="52">
        <f>Q32*HLOOKUP('Exh 5 Stores IS'!Q31,'Exh 10 Forecast Parameters'!$A$2:$P$17,5,0)</f>
        <v>3477.5749917880785</v>
      </c>
      <c r="R35" s="52">
        <f>R32*HLOOKUP('Exh 5 Stores IS'!R31,'Exh 10 Forecast Parameters'!$A$2:$P$17,5,0)</f>
        <v>3571.7199019657651</v>
      </c>
      <c r="S35" s="52">
        <f>S32*HLOOKUP('Exh 5 Stores IS'!S31,'Exh 10 Forecast Parameters'!$A$2:$P$17,5,0)</f>
        <v>3661.2486330284387</v>
      </c>
      <c r="T35" s="52">
        <f>T32*HLOOKUP('Exh 5 Stores IS'!T31,'Exh 10 Forecast Parameters'!$A$2:$P$17,5,0)</f>
        <v>3745.6770265060741</v>
      </c>
      <c r="U35" s="52"/>
      <c r="V35" s="52"/>
    </row>
    <row r="36" spans="1:22" ht="14.1" customHeight="1" x14ac:dyDescent="0.3">
      <c r="A36" s="62"/>
      <c r="B36" s="48" t="s">
        <v>16</v>
      </c>
      <c r="C36" s="48"/>
      <c r="D36" s="52"/>
      <c r="E36" s="48"/>
      <c r="F36" s="56"/>
      <c r="G36" s="56"/>
      <c r="H36" s="56"/>
      <c r="I36" s="56"/>
      <c r="J36" s="57">
        <f>SUM('Exh 6 Stores BS'!E32:I32)/5</f>
        <v>811.6</v>
      </c>
      <c r="K36" s="57">
        <f>SUM('Exh 6 Stores BS'!F32:J32)/5</f>
        <v>811.6</v>
      </c>
      <c r="L36" s="57">
        <f>SUM('Exh 6 Stores BS'!G32:K32)/5</f>
        <v>811.6</v>
      </c>
      <c r="M36" s="57">
        <f>SUM('Exh 6 Stores BS'!H32:L32)/5</f>
        <v>811.6</v>
      </c>
      <c r="N36" s="57">
        <f>SUM('Exh 6 Stores BS'!I32:M32)/5</f>
        <v>811.6</v>
      </c>
      <c r="O36" s="56">
        <v>0</v>
      </c>
      <c r="P36" s="56">
        <v>0</v>
      </c>
      <c r="Q36" s="56">
        <v>0</v>
      </c>
      <c r="R36" s="56">
        <v>655.37628015053292</v>
      </c>
      <c r="S36" s="56">
        <v>655.37628015053292</v>
      </c>
      <c r="T36" s="56">
        <v>655.37628015053292</v>
      </c>
      <c r="U36" s="56"/>
      <c r="V36" s="56"/>
    </row>
    <row r="37" spans="1:22" ht="14.1" customHeight="1" x14ac:dyDescent="0.3">
      <c r="A37" s="62"/>
      <c r="B37" s="48" t="s">
        <v>9</v>
      </c>
      <c r="C37" s="48"/>
      <c r="D37" s="52"/>
      <c r="E37" s="60"/>
      <c r="F37" s="56"/>
      <c r="G37" s="56"/>
      <c r="H37" s="56"/>
      <c r="I37" s="56"/>
      <c r="J37" s="57">
        <v>2530</v>
      </c>
      <c r="K37" s="57">
        <f>J37</f>
        <v>2530</v>
      </c>
      <c r="L37" s="57">
        <f>K37</f>
        <v>2530</v>
      </c>
      <c r="M37" s="57">
        <f>L37</f>
        <v>2530</v>
      </c>
      <c r="N37" s="57">
        <f>M37</f>
        <v>2530</v>
      </c>
      <c r="O37" s="59">
        <f>IF(N37=I37,I37*(1+$D$97)^6,N37)</f>
        <v>2530</v>
      </c>
      <c r="P37" s="59">
        <f t="shared" ref="P37" si="16">IF(O37=J37,J37*(1+$D$97)^6,O37)</f>
        <v>2849.1909207379204</v>
      </c>
      <c r="Q37" s="59">
        <f t="shared" ref="Q37" si="17">IF(P37=K37,K37*(1+$D$97)^6,P37)</f>
        <v>2849.1909207379204</v>
      </c>
      <c r="R37" s="59">
        <f t="shared" ref="R37" si="18">IF(Q37=L37,L37*(1+$D$97)^6,Q37)</f>
        <v>2849.1909207379204</v>
      </c>
      <c r="S37" s="59">
        <f t="shared" ref="S37" si="19">IF(R37=M37,M37*(1+$D$97)^6,R37)</f>
        <v>2849.1909207379204</v>
      </c>
      <c r="T37" s="59">
        <f t="shared" ref="T37" si="20">IF(S37=N37,N37*(1+$D$97)^6,S37)</f>
        <v>2849.1909207379204</v>
      </c>
      <c r="U37" s="59"/>
      <c r="V37" s="59"/>
    </row>
    <row r="38" spans="1:22" ht="14.1" customHeight="1" x14ac:dyDescent="0.3">
      <c r="A38" s="78">
        <v>2008</v>
      </c>
      <c r="B38" s="53"/>
      <c r="C38" s="54">
        <v>2</v>
      </c>
      <c r="D38" s="55">
        <v>15500</v>
      </c>
      <c r="E38" s="53"/>
      <c r="F38" s="53"/>
      <c r="G38" s="53"/>
      <c r="H38" s="53"/>
      <c r="I38" s="53"/>
      <c r="J38" s="53"/>
      <c r="K38" s="53">
        <v>1</v>
      </c>
      <c r="L38" s="53">
        <v>2</v>
      </c>
      <c r="M38" s="53">
        <v>3</v>
      </c>
      <c r="N38" s="53">
        <v>4</v>
      </c>
      <c r="O38" s="53">
        <v>5</v>
      </c>
      <c r="P38" s="53">
        <v>6</v>
      </c>
      <c r="Q38" s="53">
        <v>7</v>
      </c>
      <c r="R38" s="53">
        <v>8</v>
      </c>
      <c r="S38" s="53">
        <v>9</v>
      </c>
      <c r="T38" s="53">
        <v>10</v>
      </c>
      <c r="U38" s="53"/>
      <c r="V38" s="53"/>
    </row>
    <row r="39" spans="1:22" ht="14.1" customHeight="1" x14ac:dyDescent="0.3">
      <c r="A39" s="62"/>
      <c r="B39" s="48" t="s">
        <v>0</v>
      </c>
      <c r="C39" s="48"/>
      <c r="D39" s="52"/>
      <c r="E39" s="48"/>
      <c r="F39" s="48"/>
      <c r="G39" s="48"/>
      <c r="H39" s="48"/>
      <c r="I39" s="48"/>
      <c r="J39" s="48"/>
      <c r="K39" s="57">
        <v>3187.1</v>
      </c>
      <c r="L39" s="57">
        <v>5176</v>
      </c>
      <c r="M39" s="57">
        <v>7244.1</v>
      </c>
      <c r="N39" s="57">
        <v>9257.2000000000007</v>
      </c>
      <c r="O39" s="52">
        <f>N39*(1+HLOOKUP('Exh 5 Stores IS'!O38,'Exh 10 Forecast Parameters'!$A$2:$P$17,2,0))*(1+HLOOKUP(O$2,'Exh 2 Econ Indicators'!$A$2:$S$8,7,0))</f>
        <v>10459.802852000001</v>
      </c>
      <c r="P39" s="52">
        <f>O39*(1+HLOOKUP('Exh 5 Stores IS'!P38,'Exh 10 Forecast Parameters'!$A$2:$P$17,2,0))*(1+HLOOKUP(P$2,'Exh 2 Econ Indicators'!$A$2:$S$8,7,0))</f>
        <v>10913.967491833841</v>
      </c>
      <c r="Q39" s="52">
        <f>P39*(1+HLOOKUP('Exh 5 Stores IS'!Q38,'Exh 10 Forecast Parameters'!$A$2:$P$17,2,0))*(1+HLOOKUP(Q$2,'Exh 2 Econ Indicators'!$A$2:$S$8,7,0))</f>
        <v>11231.323838561384</v>
      </c>
      <c r="R39" s="52">
        <f>Q39*(1+HLOOKUP('Exh 5 Stores IS'!R38,'Exh 10 Forecast Parameters'!$A$2:$P$17,2,0))*(1+HLOOKUP(R$2,'Exh 2 Econ Indicators'!$A$2:$S$8,7,0))</f>
        <v>11535.378237518917</v>
      </c>
      <c r="S39" s="52">
        <f>R39*(1+HLOOKUP('Exh 5 Stores IS'!S38,'Exh 10 Forecast Parameters'!$A$2:$P$17,2,0))*(1+HLOOKUP(S$2,'Exh 2 Econ Indicators'!$A$2:$S$8,7,0))</f>
        <v>11824.524028420565</v>
      </c>
      <c r="T39" s="52">
        <f>S39*(1+HLOOKUP('Exh 5 Stores IS'!T38,'Exh 10 Forecast Parameters'!$A$2:$P$17,2,0))*(1+HLOOKUP(T$2,'Exh 2 Econ Indicators'!$A$2:$S$8,7,0))</f>
        <v>12097.197552515941</v>
      </c>
      <c r="U39" s="52"/>
      <c r="V39" s="52"/>
    </row>
    <row r="40" spans="1:22" ht="14.1" customHeight="1" x14ac:dyDescent="0.3">
      <c r="A40" s="62"/>
      <c r="B40" s="48" t="s">
        <v>1</v>
      </c>
      <c r="C40" s="48"/>
      <c r="D40" s="52"/>
      <c r="E40" s="48"/>
      <c r="F40" s="48"/>
      <c r="G40" s="48"/>
      <c r="H40" s="48"/>
      <c r="I40" s="48"/>
      <c r="J40" s="48"/>
      <c r="K40" s="57">
        <v>2053.3000000000002</v>
      </c>
      <c r="L40" s="57">
        <v>3466.7</v>
      </c>
      <c r="M40" s="57">
        <v>4420.5</v>
      </c>
      <c r="N40" s="57">
        <v>3764.1</v>
      </c>
      <c r="O40" s="52">
        <f>O39*HLOOKUP('Exh 5 Stores IS'!O38,'Exh 10 Forecast Parameters'!$A$2:$P$17,3,0)</f>
        <v>4152.5417322440007</v>
      </c>
      <c r="P40" s="52">
        <f>P39*HLOOKUP('Exh 5 Stores IS'!P38,'Exh 10 Forecast Parameters'!$A$2:$P$17,3,0)</f>
        <v>4332.8450942580348</v>
      </c>
      <c r="Q40" s="52">
        <f>Q39*HLOOKUP('Exh 5 Stores IS'!Q38,'Exh 10 Forecast Parameters'!$A$2:$P$17,3,0)</f>
        <v>4458.8355639088695</v>
      </c>
      <c r="R40" s="52">
        <f>R39*HLOOKUP('Exh 5 Stores IS'!R38,'Exh 10 Forecast Parameters'!$A$2:$P$17,3,0)</f>
        <v>4579.5451602950097</v>
      </c>
      <c r="S40" s="52">
        <f>S39*HLOOKUP('Exh 5 Stores IS'!S38,'Exh 10 Forecast Parameters'!$A$2:$P$17,3,0)</f>
        <v>4694.3360392829645</v>
      </c>
      <c r="T40" s="52">
        <f>T39*HLOOKUP('Exh 5 Stores IS'!T38,'Exh 10 Forecast Parameters'!$A$2:$P$17,3,0)</f>
        <v>4802.5874283488292</v>
      </c>
      <c r="U40" s="52"/>
      <c r="V40" s="52"/>
    </row>
    <row r="41" spans="1:22" ht="14.1" customHeight="1" x14ac:dyDescent="0.3">
      <c r="A41" s="62"/>
      <c r="B41" s="48" t="s">
        <v>17</v>
      </c>
      <c r="C41" s="48"/>
      <c r="D41" s="52"/>
      <c r="E41" s="48"/>
      <c r="F41" s="48"/>
      <c r="G41" s="52"/>
      <c r="H41" s="52"/>
      <c r="I41" s="52"/>
      <c r="J41" s="52"/>
      <c r="K41" s="57">
        <v>521.9</v>
      </c>
      <c r="L41" s="57">
        <v>951.3</v>
      </c>
      <c r="M41" s="57">
        <v>1224.5999999999999</v>
      </c>
      <c r="N41" s="57">
        <v>1242.7</v>
      </c>
      <c r="O41" s="52">
        <f>O39*HLOOKUP('Exh 5 Stores IS'!O38,'Exh 10 Forecast Parameters'!$A$2:$P$17,4,0)</f>
        <v>1422.5331878720001</v>
      </c>
      <c r="P41" s="52">
        <f>P39*HLOOKUP('Exh 5 Stores IS'!P38,'Exh 10 Forecast Parameters'!$A$2:$P$17,4,0)</f>
        <v>1484.2995788894025</v>
      </c>
      <c r="Q41" s="52">
        <f>Q39*HLOOKUP('Exh 5 Stores IS'!Q38,'Exh 10 Forecast Parameters'!$A$2:$P$17,4,0)</f>
        <v>1527.4600420443483</v>
      </c>
      <c r="R41" s="52">
        <f>R39*HLOOKUP('Exh 5 Stores IS'!R38,'Exh 10 Forecast Parameters'!$A$2:$P$17,4,0)</f>
        <v>1568.8114403025727</v>
      </c>
      <c r="S41" s="52">
        <f>S39*HLOOKUP('Exh 5 Stores IS'!S38,'Exh 10 Forecast Parameters'!$A$2:$P$17,4,0)</f>
        <v>1608.135267865197</v>
      </c>
      <c r="T41" s="52">
        <f>T39*HLOOKUP('Exh 5 Stores IS'!T38,'Exh 10 Forecast Parameters'!$A$2:$P$17,4,0)</f>
        <v>1645.2188671421682</v>
      </c>
      <c r="U41" s="52"/>
      <c r="V41" s="52"/>
    </row>
    <row r="42" spans="1:22" ht="14.1" customHeight="1" x14ac:dyDescent="0.3">
      <c r="A42" s="62"/>
      <c r="B42" s="48" t="s">
        <v>15</v>
      </c>
      <c r="C42" s="48"/>
      <c r="D42" s="52"/>
      <c r="E42" s="48"/>
      <c r="F42" s="48"/>
      <c r="G42" s="52"/>
      <c r="H42" s="52"/>
      <c r="I42" s="52"/>
      <c r="J42" s="52"/>
      <c r="K42" s="57">
        <v>326</v>
      </c>
      <c r="L42" s="57">
        <v>499</v>
      </c>
      <c r="M42" s="57">
        <v>598.4</v>
      </c>
      <c r="N42" s="57">
        <v>675.4</v>
      </c>
      <c r="O42" s="52">
        <f>O39*HLOOKUP('Exh 5 Stores IS'!O38,'Exh 10 Forecast Parameters'!$A$2:$P$17,5,0)</f>
        <v>753.10580534400003</v>
      </c>
      <c r="P42" s="52">
        <f>P39*HLOOKUP('Exh 5 Stores IS'!P38,'Exh 10 Forecast Parameters'!$A$2:$P$17,5,0)</f>
        <v>785.80565941203645</v>
      </c>
      <c r="Q42" s="52">
        <f>Q39*HLOOKUP('Exh 5 Stores IS'!Q38,'Exh 10 Forecast Parameters'!$A$2:$P$17,5,0)</f>
        <v>808.65531637641959</v>
      </c>
      <c r="R42" s="52">
        <f>R39*HLOOKUP('Exh 5 Stores IS'!R38,'Exh 10 Forecast Parameters'!$A$2:$P$17,5,0)</f>
        <v>830.54723310136194</v>
      </c>
      <c r="S42" s="52">
        <f>S39*HLOOKUP('Exh 5 Stores IS'!S38,'Exh 10 Forecast Parameters'!$A$2:$P$17,5,0)</f>
        <v>851.36573004628065</v>
      </c>
      <c r="T42" s="52">
        <f>T39*HLOOKUP('Exh 5 Stores IS'!T38,'Exh 10 Forecast Parameters'!$A$2:$P$17,5,0)</f>
        <v>870.99822378114777</v>
      </c>
      <c r="U42" s="52"/>
      <c r="V42" s="52"/>
    </row>
    <row r="43" spans="1:22" ht="14.1" customHeight="1" x14ac:dyDescent="0.3">
      <c r="A43" s="62"/>
      <c r="B43" s="48" t="s">
        <v>16</v>
      </c>
      <c r="C43" s="48"/>
      <c r="D43" s="52"/>
      <c r="E43" s="48"/>
      <c r="F43" s="56"/>
      <c r="G43" s="56"/>
      <c r="H43" s="56"/>
      <c r="I43" s="56"/>
      <c r="J43" s="56"/>
      <c r="K43" s="57">
        <f>SUM('Exh 6 Stores BS'!F39:J39)/5</f>
        <v>184.8</v>
      </c>
      <c r="L43" s="57">
        <f>SUM('Exh 6 Stores BS'!G39:K39)/5</f>
        <v>184.8</v>
      </c>
      <c r="M43" s="57">
        <f>SUM('Exh 6 Stores BS'!H39:L39)/5</f>
        <v>184.8</v>
      </c>
      <c r="N43" s="57">
        <f>SUM('Exh 6 Stores BS'!I39:M39)/5</f>
        <v>184.8</v>
      </c>
      <c r="O43" s="56">
        <v>184.8</v>
      </c>
      <c r="P43" s="56">
        <v>0</v>
      </c>
      <c r="Q43" s="56">
        <v>0</v>
      </c>
      <c r="R43" s="56">
        <v>0</v>
      </c>
      <c r="S43" s="56">
        <v>152.23766139890949</v>
      </c>
      <c r="T43" s="56">
        <v>152.23766139890949</v>
      </c>
      <c r="U43" s="56"/>
      <c r="V43" s="56"/>
    </row>
    <row r="44" spans="1:22" ht="14.1" customHeight="1" x14ac:dyDescent="0.3">
      <c r="A44" s="62"/>
      <c r="B44" s="48" t="s">
        <v>9</v>
      </c>
      <c r="C44" s="48"/>
      <c r="D44" s="52"/>
      <c r="E44" s="60"/>
      <c r="F44" s="56"/>
      <c r="G44" s="56"/>
      <c r="H44" s="56"/>
      <c r="I44" s="56"/>
      <c r="J44" s="56"/>
      <c r="K44" s="57">
        <v>610</v>
      </c>
      <c r="L44" s="57">
        <f>K44</f>
        <v>610</v>
      </c>
      <c r="M44" s="57">
        <f>L44</f>
        <v>610</v>
      </c>
      <c r="N44" s="57">
        <f>M44</f>
        <v>610</v>
      </c>
      <c r="O44" s="59">
        <f>IF(N44=I44,I44*(1+$D$97)^6,N44)</f>
        <v>610</v>
      </c>
      <c r="P44" s="59">
        <f t="shared" ref="P44" si="21">IF(O44=J44,J44*(1+$D$97)^6,O44)</f>
        <v>610</v>
      </c>
      <c r="Q44" s="59">
        <f t="shared" ref="Q44" si="22">IF(P44=K44,K44*(1+$D$97)^6,P44)</f>
        <v>686.95907575104002</v>
      </c>
      <c r="R44" s="59">
        <f t="shared" ref="R44" si="23">IF(Q44=L44,L44*(1+$D$97)^6,Q44)</f>
        <v>686.95907575104002</v>
      </c>
      <c r="S44" s="59">
        <f t="shared" ref="S44" si="24">IF(R44=M44,M44*(1+$D$97)^6,R44)</f>
        <v>686.95907575104002</v>
      </c>
      <c r="T44" s="59">
        <f t="shared" ref="T44" si="25">IF(S44=N44,N44*(1+$D$97)^6,S44)</f>
        <v>686.95907575104002</v>
      </c>
      <c r="U44" s="59"/>
      <c r="V44" s="59"/>
    </row>
    <row r="45" spans="1:22" ht="14.1" customHeight="1" x14ac:dyDescent="0.3">
      <c r="A45" s="78">
        <v>2009</v>
      </c>
      <c r="B45" s="53"/>
      <c r="C45" s="54">
        <v>1</v>
      </c>
      <c r="D45" s="55">
        <v>14500</v>
      </c>
      <c r="E45" s="53"/>
      <c r="F45" s="53"/>
      <c r="G45" s="53"/>
      <c r="H45" s="53"/>
      <c r="I45" s="53"/>
      <c r="J45" s="53"/>
      <c r="K45" s="53"/>
      <c r="L45" s="53">
        <v>1</v>
      </c>
      <c r="M45" s="53">
        <v>2</v>
      </c>
      <c r="N45" s="53">
        <v>3</v>
      </c>
      <c r="O45" s="53">
        <v>4</v>
      </c>
      <c r="P45" s="53">
        <v>5</v>
      </c>
      <c r="Q45" s="53">
        <v>6</v>
      </c>
      <c r="R45" s="53">
        <v>7</v>
      </c>
      <c r="S45" s="53">
        <v>8</v>
      </c>
      <c r="T45" s="53">
        <v>9</v>
      </c>
      <c r="U45" s="53"/>
      <c r="V45" s="53"/>
    </row>
    <row r="46" spans="1:22" ht="14.1" customHeight="1" x14ac:dyDescent="0.3">
      <c r="A46" s="62"/>
      <c r="B46" s="48" t="s">
        <v>0</v>
      </c>
      <c r="C46" s="48"/>
      <c r="D46" s="52"/>
      <c r="E46" s="48"/>
      <c r="F46" s="48"/>
      <c r="G46" s="48"/>
      <c r="H46" s="48"/>
      <c r="I46" s="48"/>
      <c r="J46" s="48"/>
      <c r="K46" s="48"/>
      <c r="L46" s="57">
        <v>1437.4</v>
      </c>
      <c r="M46" s="57">
        <v>2507.1999999999998</v>
      </c>
      <c r="N46" s="57">
        <v>3540.1</v>
      </c>
      <c r="O46" s="52">
        <f>N46*(1+HLOOKUP('Exh 5 Stores IS'!O45,'Exh 10 Forecast Parameters'!$A$2:$P$17,2,0))*(1+HLOOKUP(O$2,'Exh 2 Econ Indicators'!$A$2:$S$8,7,0))</f>
        <v>4481.3063870000005</v>
      </c>
      <c r="P46" s="52">
        <f>O46*(1+HLOOKUP('Exh 5 Stores IS'!P45,'Exh 10 Forecast Parameters'!$A$2:$P$17,2,0))*(1+HLOOKUP(P$2,'Exh 2 Econ Indicators'!$A$2:$S$8,7,0))</f>
        <v>5053.640913522092</v>
      </c>
      <c r="Q46" s="52">
        <f>P46*(1+HLOOKUP('Exh 5 Stores IS'!Q45,'Exh 10 Forecast Parameters'!$A$2:$P$17,2,0))*(1+HLOOKUP(Q$2,'Exh 2 Econ Indicators'!$A$2:$S$8,7,0))</f>
        <v>5262.8111109327701</v>
      </c>
      <c r="R46" s="52">
        <f>Q46*(1+HLOOKUP('Exh 5 Stores IS'!R45,'Exh 10 Forecast Parameters'!$A$2:$P$17,2,0))*(1+HLOOKUP(R$2,'Exh 2 Econ Indicators'!$A$2:$S$8,7,0))</f>
        <v>5405.2859333279412</v>
      </c>
      <c r="S46" s="52">
        <f>R46*(1+HLOOKUP('Exh 5 Stores IS'!S45,'Exh 10 Forecast Parameters'!$A$2:$P$17,2,0))*(1+HLOOKUP(S$2,'Exh 2 Econ Indicators'!$A$2:$S$8,7,0))</f>
        <v>5540.7748305327395</v>
      </c>
      <c r="T46" s="52">
        <f>S46*(1+HLOOKUP('Exh 5 Stores IS'!T45,'Exh 10 Forecast Parameters'!$A$2:$P$17,2,0))*(1+HLOOKUP(T$2,'Exh 2 Econ Indicators'!$A$2:$S$8,7,0))</f>
        <v>5668.5450981248241</v>
      </c>
      <c r="U46" s="52"/>
      <c r="V46" s="52"/>
    </row>
    <row r="47" spans="1:22" ht="14.1" customHeight="1" x14ac:dyDescent="0.3">
      <c r="A47" s="62"/>
      <c r="B47" s="48" t="s">
        <v>1</v>
      </c>
      <c r="C47" s="48"/>
      <c r="D47" s="52"/>
      <c r="E47" s="48"/>
      <c r="F47" s="48"/>
      <c r="G47" s="48"/>
      <c r="H47" s="48"/>
      <c r="I47" s="48"/>
      <c r="J47" s="48"/>
      <c r="K47" s="48"/>
      <c r="L47" s="57">
        <v>1020.6</v>
      </c>
      <c r="M47" s="57">
        <v>1652</v>
      </c>
      <c r="N47" s="57">
        <v>1887</v>
      </c>
      <c r="O47" s="52">
        <f>O46*HLOOKUP('Exh 5 Stores IS'!O45,'Exh 10 Forecast Parameters'!$A$2:$P$17,3,0)</f>
        <v>1779.0786356390004</v>
      </c>
      <c r="P47" s="52">
        <f>P46*HLOOKUP('Exh 5 Stores IS'!P45,'Exh 10 Forecast Parameters'!$A$2:$P$17,3,0)</f>
        <v>2006.2954426682707</v>
      </c>
      <c r="Q47" s="52">
        <f>Q46*HLOOKUP('Exh 5 Stores IS'!Q45,'Exh 10 Forecast Parameters'!$A$2:$P$17,3,0)</f>
        <v>2089.33601104031</v>
      </c>
      <c r="R47" s="52">
        <f>R46*HLOOKUP('Exh 5 Stores IS'!R45,'Exh 10 Forecast Parameters'!$A$2:$P$17,3,0)</f>
        <v>2145.898515531193</v>
      </c>
      <c r="S47" s="52">
        <f>S46*HLOOKUP('Exh 5 Stores IS'!S45,'Exh 10 Forecast Parameters'!$A$2:$P$17,3,0)</f>
        <v>2199.6876077214979</v>
      </c>
      <c r="T47" s="52">
        <f>T46*HLOOKUP('Exh 5 Stores IS'!T45,'Exh 10 Forecast Parameters'!$A$2:$P$17,3,0)</f>
        <v>2250.4124039555554</v>
      </c>
      <c r="U47" s="52"/>
      <c r="V47" s="52"/>
    </row>
    <row r="48" spans="1:22" ht="14.1" customHeight="1" x14ac:dyDescent="0.3">
      <c r="A48" s="62"/>
      <c r="B48" s="48" t="s">
        <v>17</v>
      </c>
      <c r="C48" s="48"/>
      <c r="D48" s="52"/>
      <c r="E48" s="48"/>
      <c r="F48" s="48"/>
      <c r="G48" s="52"/>
      <c r="H48" s="52"/>
      <c r="I48" s="52"/>
      <c r="J48" s="52"/>
      <c r="K48" s="52"/>
      <c r="L48" s="57">
        <v>256.89999999999998</v>
      </c>
      <c r="M48" s="57">
        <v>480.3</v>
      </c>
      <c r="N48" s="57">
        <v>615</v>
      </c>
      <c r="O48" s="52">
        <f>O46*HLOOKUP('Exh 5 Stores IS'!O45,'Exh 10 Forecast Parameters'!$A$2:$P$17,4,0)</f>
        <v>609.45766863200015</v>
      </c>
      <c r="P48" s="52">
        <f>P46*HLOOKUP('Exh 5 Stores IS'!P45,'Exh 10 Forecast Parameters'!$A$2:$P$17,4,0)</f>
        <v>687.29516423900452</v>
      </c>
      <c r="Q48" s="52">
        <f>Q46*HLOOKUP('Exh 5 Stores IS'!Q45,'Exh 10 Forecast Parameters'!$A$2:$P$17,4,0)</f>
        <v>715.74231108685683</v>
      </c>
      <c r="R48" s="52">
        <f>R46*HLOOKUP('Exh 5 Stores IS'!R45,'Exh 10 Forecast Parameters'!$A$2:$P$17,4,0)</f>
        <v>735.11888693260005</v>
      </c>
      <c r="S48" s="52">
        <f>S46*HLOOKUP('Exh 5 Stores IS'!S45,'Exh 10 Forecast Parameters'!$A$2:$P$17,4,0)</f>
        <v>753.54537695245267</v>
      </c>
      <c r="T48" s="52">
        <f>T46*HLOOKUP('Exh 5 Stores IS'!T45,'Exh 10 Forecast Parameters'!$A$2:$P$17,4,0)</f>
        <v>770.92213334497615</v>
      </c>
      <c r="U48" s="52"/>
      <c r="V48" s="52"/>
    </row>
    <row r="49" spans="1:22" ht="14.1" customHeight="1" x14ac:dyDescent="0.3">
      <c r="A49" s="62"/>
      <c r="B49" s="48" t="s">
        <v>15</v>
      </c>
      <c r="C49" s="48"/>
      <c r="D49" s="52"/>
      <c r="E49" s="48"/>
      <c r="F49" s="48"/>
      <c r="G49" s="52"/>
      <c r="H49" s="52"/>
      <c r="I49" s="52"/>
      <c r="J49" s="52"/>
      <c r="K49" s="52"/>
      <c r="L49" s="57">
        <v>158</v>
      </c>
      <c r="M49" s="57">
        <v>227.2</v>
      </c>
      <c r="N49" s="57">
        <v>303.10000000000002</v>
      </c>
      <c r="O49" s="52">
        <f>O46*HLOOKUP('Exh 5 Stores IS'!O45,'Exh 10 Forecast Parameters'!$A$2:$P$17,5,0)</f>
        <v>322.65405986400003</v>
      </c>
      <c r="P49" s="52">
        <f>P46*HLOOKUP('Exh 5 Stores IS'!P45,'Exh 10 Forecast Parameters'!$A$2:$P$17,5,0)</f>
        <v>363.86214577359061</v>
      </c>
      <c r="Q49" s="52">
        <f>Q46*HLOOKUP('Exh 5 Stores IS'!Q45,'Exh 10 Forecast Parameters'!$A$2:$P$17,5,0)</f>
        <v>378.92239998715939</v>
      </c>
      <c r="R49" s="52">
        <f>R46*HLOOKUP('Exh 5 Stores IS'!R45,'Exh 10 Forecast Parameters'!$A$2:$P$17,5,0)</f>
        <v>389.18058719961175</v>
      </c>
      <c r="S49" s="52">
        <f>S46*HLOOKUP('Exh 5 Stores IS'!S45,'Exh 10 Forecast Parameters'!$A$2:$P$17,5,0)</f>
        <v>398.93578779835724</v>
      </c>
      <c r="T49" s="52">
        <f>T46*HLOOKUP('Exh 5 Stores IS'!T45,'Exh 10 Forecast Parameters'!$A$2:$P$17,5,0)</f>
        <v>408.13524706498731</v>
      </c>
      <c r="U49" s="52"/>
      <c r="V49" s="52"/>
    </row>
    <row r="50" spans="1:22" ht="14.1" customHeight="1" x14ac:dyDescent="0.3">
      <c r="A50" s="62"/>
      <c r="B50" s="48" t="s">
        <v>16</v>
      </c>
      <c r="C50" s="48"/>
      <c r="D50" s="52"/>
      <c r="E50" s="48"/>
      <c r="F50" s="56"/>
      <c r="G50" s="56"/>
      <c r="H50" s="56"/>
      <c r="I50" s="56"/>
      <c r="J50" s="56"/>
      <c r="K50" s="56"/>
      <c r="L50" s="57">
        <f>SUM('Exh 6 Stores BS'!G46:K46)/5</f>
        <v>78.8</v>
      </c>
      <c r="M50" s="57">
        <f>SUM('Exh 6 Stores BS'!H46:L46)/5</f>
        <v>78.8</v>
      </c>
      <c r="N50" s="57">
        <f>SUM('Exh 6 Stores BS'!I46:M46)/5</f>
        <v>78.8</v>
      </c>
      <c r="O50" s="56">
        <v>78.8</v>
      </c>
      <c r="P50" s="56">
        <v>78.8</v>
      </c>
      <c r="Q50" s="56">
        <v>0</v>
      </c>
      <c r="R50" s="56">
        <v>0</v>
      </c>
      <c r="S50" s="56">
        <v>0</v>
      </c>
      <c r="T50" s="56">
        <v>64.396149492596564</v>
      </c>
      <c r="U50" s="56"/>
      <c r="V50" s="56"/>
    </row>
    <row r="51" spans="1:22" ht="14.1" customHeight="1" x14ac:dyDescent="0.3">
      <c r="A51" s="62"/>
      <c r="B51" s="48" t="s">
        <v>9</v>
      </c>
      <c r="C51" s="48"/>
      <c r="D51" s="52"/>
      <c r="E51" s="60"/>
      <c r="F51" s="56"/>
      <c r="G51" s="56"/>
      <c r="H51" s="56"/>
      <c r="I51" s="56"/>
      <c r="J51" s="56"/>
      <c r="K51" s="56"/>
      <c r="L51" s="57">
        <v>280</v>
      </c>
      <c r="M51" s="57">
        <f>L51</f>
        <v>280</v>
      </c>
      <c r="N51" s="57">
        <f>M51</f>
        <v>280</v>
      </c>
      <c r="O51" s="59">
        <f>IF(N51=I51,I51*(1+$D$97)^6,N51)</f>
        <v>280</v>
      </c>
      <c r="P51" s="59">
        <f t="shared" ref="P51" si="26">IF(O51=J51,J51*(1+$D$97)^6,O51)</f>
        <v>280</v>
      </c>
      <c r="Q51" s="59">
        <f t="shared" ref="Q51" si="27">IF(P51=K51,K51*(1+$D$97)^6,P51)</f>
        <v>280</v>
      </c>
      <c r="R51" s="59">
        <f t="shared" ref="R51" si="28">IF(Q51=L51,L51*(1+$D$97)^6,Q51)</f>
        <v>315.32547739392004</v>
      </c>
      <c r="S51" s="59">
        <f t="shared" ref="S51" si="29">IF(R51=M51,M51*(1+$D$97)^6,R51)</f>
        <v>315.32547739392004</v>
      </c>
      <c r="T51" s="59">
        <f t="shared" ref="T51" si="30">IF(S51=N51,N51*(1+$D$97)^6,S51)</f>
        <v>315.32547739392004</v>
      </c>
      <c r="U51" s="59"/>
      <c r="V51" s="59"/>
    </row>
    <row r="52" spans="1:22" ht="14.1" customHeight="1" x14ac:dyDescent="0.3">
      <c r="A52" s="78">
        <v>2010</v>
      </c>
      <c r="B52" s="53"/>
      <c r="C52" s="54">
        <v>2</v>
      </c>
      <c r="D52" s="55">
        <v>14700</v>
      </c>
      <c r="E52" s="53"/>
      <c r="F52" s="53"/>
      <c r="G52" s="53"/>
      <c r="H52" s="53"/>
      <c r="I52" s="53"/>
      <c r="J52" s="53"/>
      <c r="K52" s="53"/>
      <c r="L52" s="53"/>
      <c r="M52" s="53">
        <v>1</v>
      </c>
      <c r="N52" s="53">
        <v>2</v>
      </c>
      <c r="O52" s="53">
        <v>3</v>
      </c>
      <c r="P52" s="53">
        <v>4</v>
      </c>
      <c r="Q52" s="53">
        <v>5</v>
      </c>
      <c r="R52" s="53">
        <v>6</v>
      </c>
      <c r="S52" s="53">
        <v>7</v>
      </c>
      <c r="T52" s="53">
        <v>8</v>
      </c>
      <c r="U52" s="53"/>
      <c r="V52" s="53"/>
    </row>
    <row r="53" spans="1:22" ht="14.1" customHeight="1" x14ac:dyDescent="0.3">
      <c r="A53" s="62"/>
      <c r="B53" s="48" t="s">
        <v>0</v>
      </c>
      <c r="C53" s="48"/>
      <c r="D53" s="52"/>
      <c r="E53" s="48"/>
      <c r="F53" s="48"/>
      <c r="G53" s="48"/>
      <c r="H53" s="48"/>
      <c r="I53" s="48"/>
      <c r="J53" s="48"/>
      <c r="K53" s="48"/>
      <c r="L53" s="48"/>
      <c r="M53" s="57">
        <v>3007.7</v>
      </c>
      <c r="N53" s="57">
        <v>5300</v>
      </c>
      <c r="O53" s="52">
        <f>N53*(1+HLOOKUP('Exh 5 Stores IS'!O52,'Exh 10 Forecast Parameters'!$A$2:$P$17,2,0))*(1+HLOOKUP(O$2,'Exh 2 Econ Indicators'!$A$2:$S$8,7,0))</f>
        <v>7287.7650000000003</v>
      </c>
      <c r="P53" s="52">
        <f>O53*(1+HLOOKUP('Exh 5 Stores IS'!P52,'Exh 10 Forecast Parameters'!$A$2:$P$17,2,0))*(1+HLOOKUP(P$2,'Exh 2 Econ Indicators'!$A$2:$S$8,7,0))</f>
        <v>9207.449754180001</v>
      </c>
      <c r="Q53" s="52">
        <f>P53*(1+HLOOKUP('Exh 5 Stores IS'!Q52,'Exh 10 Forecast Parameters'!$A$2:$P$17,2,0))*(1+HLOOKUP(Q$2,'Exh 2 Econ Indicators'!$A$2:$S$8,7,0))</f>
        <v>10363.187262224183</v>
      </c>
      <c r="R53" s="52">
        <f>Q53*(1+HLOOKUP('Exh 5 Stores IS'!R52,'Exh 10 Forecast Parameters'!$A$2:$P$17,2,0))*(1+HLOOKUP(R$2,'Exh 2 Econ Indicators'!$A$2:$S$8,7,0))</f>
        <v>10771.082312865326</v>
      </c>
      <c r="S53" s="52">
        <f>R53*(1+HLOOKUP('Exh 5 Stores IS'!S52,'Exh 10 Forecast Parameters'!$A$2:$P$17,2,0))*(1+HLOOKUP(S$2,'Exh 2 Econ Indicators'!$A$2:$S$8,7,0))</f>
        <v>11041.070262119607</v>
      </c>
      <c r="T53" s="52">
        <f>S53*(1+HLOOKUP('Exh 5 Stores IS'!T52,'Exh 10 Forecast Parameters'!$A$2:$P$17,2,0))*(1+HLOOKUP(T$2,'Exh 2 Econ Indicators'!$A$2:$S$8,7,0))</f>
        <v>11295.677342364084</v>
      </c>
      <c r="U53" s="52"/>
      <c r="V53" s="52"/>
    </row>
    <row r="54" spans="1:22" ht="14.1" customHeight="1" x14ac:dyDescent="0.3">
      <c r="A54" s="62"/>
      <c r="B54" s="48" t="s">
        <v>1</v>
      </c>
      <c r="C54" s="48"/>
      <c r="D54" s="52"/>
      <c r="E54" s="48"/>
      <c r="F54" s="48"/>
      <c r="G54" s="48"/>
      <c r="H54" s="48"/>
      <c r="I54" s="48"/>
      <c r="J54" s="48"/>
      <c r="K54" s="48"/>
      <c r="L54" s="48"/>
      <c r="M54" s="57">
        <v>2226</v>
      </c>
      <c r="N54" s="57">
        <v>3525.6</v>
      </c>
      <c r="O54" s="52">
        <f>O53*HLOOKUP('Exh 5 Stores IS'!O52,'Exh 10 Forecast Parameters'!$A$2:$P$17,3,0)</f>
        <v>4095.7239300000006</v>
      </c>
      <c r="P54" s="52">
        <f>P53*HLOOKUP('Exh 5 Stores IS'!P52,'Exh 10 Forecast Parameters'!$A$2:$P$17,3,0)</f>
        <v>3655.3575524094604</v>
      </c>
      <c r="Q54" s="52">
        <f>Q53*HLOOKUP('Exh 5 Stores IS'!Q52,'Exh 10 Forecast Parameters'!$A$2:$P$17,3,0)</f>
        <v>4114.1853431030004</v>
      </c>
      <c r="R54" s="52">
        <f>R53*HLOOKUP('Exh 5 Stores IS'!R52,'Exh 10 Forecast Parameters'!$A$2:$P$17,3,0)</f>
        <v>4276.1196782075349</v>
      </c>
      <c r="S54" s="52">
        <f>S53*HLOOKUP('Exh 5 Stores IS'!S52,'Exh 10 Forecast Parameters'!$A$2:$P$17,3,0)</f>
        <v>4383.3048940614844</v>
      </c>
      <c r="T54" s="52">
        <f>T53*HLOOKUP('Exh 5 Stores IS'!T52,'Exh 10 Forecast Parameters'!$A$2:$P$17,3,0)</f>
        <v>4484.3839049185417</v>
      </c>
      <c r="U54" s="52"/>
      <c r="V54" s="52"/>
    </row>
    <row r="55" spans="1:22" ht="14.1" customHeight="1" x14ac:dyDescent="0.3">
      <c r="A55" s="62"/>
      <c r="B55" s="48" t="s">
        <v>17</v>
      </c>
      <c r="C55" s="48"/>
      <c r="D55" s="52"/>
      <c r="E55" s="48"/>
      <c r="F55" s="48"/>
      <c r="G55" s="52"/>
      <c r="H55" s="52"/>
      <c r="I55" s="52"/>
      <c r="J55" s="52"/>
      <c r="K55" s="52"/>
      <c r="L55" s="52"/>
      <c r="M55" s="57">
        <v>622.70000000000005</v>
      </c>
      <c r="N55" s="57">
        <v>1028</v>
      </c>
      <c r="O55" s="52">
        <f>O53*HLOOKUP('Exh 5 Stores IS'!O52,'Exh 10 Forecast Parameters'!$A$2:$P$17,4,0)</f>
        <v>1260.7833450000001</v>
      </c>
      <c r="P55" s="52">
        <f>P53*HLOOKUP('Exh 5 Stores IS'!P52,'Exh 10 Forecast Parameters'!$A$2:$P$17,4,0)</f>
        <v>1252.2131665684801</v>
      </c>
      <c r="Q55" s="52">
        <f>Q53*HLOOKUP('Exh 5 Stores IS'!Q52,'Exh 10 Forecast Parameters'!$A$2:$P$17,4,0)</f>
        <v>1409.393467662489</v>
      </c>
      <c r="R55" s="52">
        <f>R53*HLOOKUP('Exh 5 Stores IS'!R52,'Exh 10 Forecast Parameters'!$A$2:$P$17,4,0)</f>
        <v>1464.8671945496844</v>
      </c>
      <c r="S55" s="52">
        <f>S53*HLOOKUP('Exh 5 Stores IS'!S52,'Exh 10 Forecast Parameters'!$A$2:$P$17,4,0)</f>
        <v>1501.5855556482666</v>
      </c>
      <c r="T55" s="52">
        <f>T53*HLOOKUP('Exh 5 Stores IS'!T52,'Exh 10 Forecast Parameters'!$A$2:$P$17,4,0)</f>
        <v>1536.2121185615156</v>
      </c>
      <c r="U55" s="52"/>
      <c r="V55" s="52"/>
    </row>
    <row r="56" spans="1:22" ht="14.1" customHeight="1" x14ac:dyDescent="0.3">
      <c r="A56" s="62"/>
      <c r="B56" s="48" t="s">
        <v>15</v>
      </c>
      <c r="C56" s="48"/>
      <c r="D56" s="52"/>
      <c r="E56" s="48"/>
      <c r="F56" s="48"/>
      <c r="G56" s="52"/>
      <c r="H56" s="52"/>
      <c r="I56" s="52"/>
      <c r="J56" s="52"/>
      <c r="K56" s="52"/>
      <c r="L56" s="52"/>
      <c r="M56" s="57">
        <v>352.9</v>
      </c>
      <c r="N56" s="57">
        <v>472.8</v>
      </c>
      <c r="O56" s="52">
        <f>O53*HLOOKUP('Exh 5 Stores IS'!O52,'Exh 10 Forecast Parameters'!$A$2:$P$17,5,0)</f>
        <v>597.59673000000009</v>
      </c>
      <c r="P56" s="52">
        <f>P53*HLOOKUP('Exh 5 Stores IS'!P52,'Exh 10 Forecast Parameters'!$A$2:$P$17,5,0)</f>
        <v>662.93638230096008</v>
      </c>
      <c r="Q56" s="52">
        <f>Q53*HLOOKUP('Exh 5 Stores IS'!Q52,'Exh 10 Forecast Parameters'!$A$2:$P$17,5,0)</f>
        <v>746.14948288014114</v>
      </c>
      <c r="R56" s="52">
        <f>R53*HLOOKUP('Exh 5 Stores IS'!R52,'Exh 10 Forecast Parameters'!$A$2:$P$17,5,0)</f>
        <v>775.51792652630343</v>
      </c>
      <c r="S56" s="52">
        <f>S53*HLOOKUP('Exh 5 Stores IS'!S52,'Exh 10 Forecast Parameters'!$A$2:$P$17,5,0)</f>
        <v>794.95705887261158</v>
      </c>
      <c r="T56" s="52">
        <f>T53*HLOOKUP('Exh 5 Stores IS'!T52,'Exh 10 Forecast Parameters'!$A$2:$P$17,5,0)</f>
        <v>813.28876865021402</v>
      </c>
      <c r="U56" s="52"/>
      <c r="V56" s="52"/>
    </row>
    <row r="57" spans="1:22" ht="14.1" customHeight="1" x14ac:dyDescent="0.3">
      <c r="A57" s="62"/>
      <c r="B57" s="48" t="s">
        <v>16</v>
      </c>
      <c r="C57" s="48"/>
      <c r="D57" s="52"/>
      <c r="E57" s="48"/>
      <c r="F57" s="56"/>
      <c r="G57" s="56"/>
      <c r="H57" s="56"/>
      <c r="I57" s="56"/>
      <c r="J57" s="56"/>
      <c r="K57" s="56"/>
      <c r="L57" s="56"/>
      <c r="M57" s="57">
        <f>SUM('Exh 6 Stores BS'!H53:L53)/5</f>
        <v>150.4</v>
      </c>
      <c r="N57" s="57">
        <f>SUM('Exh 6 Stores BS'!I53:M53)/5</f>
        <v>150.4</v>
      </c>
      <c r="O57" s="56">
        <v>150.4</v>
      </c>
      <c r="P57" s="56">
        <v>150.4</v>
      </c>
      <c r="Q57" s="56">
        <v>150.4</v>
      </c>
      <c r="R57" s="56">
        <v>0</v>
      </c>
      <c r="S57" s="56">
        <v>0</v>
      </c>
      <c r="T57" s="56">
        <v>0</v>
      </c>
      <c r="U57" s="56"/>
      <c r="V57" s="56"/>
    </row>
    <row r="58" spans="1:22" ht="14.1" customHeight="1" x14ac:dyDescent="0.3">
      <c r="A58" s="62"/>
      <c r="B58" s="48" t="s">
        <v>9</v>
      </c>
      <c r="C58" s="48"/>
      <c r="D58" s="52"/>
      <c r="E58" s="60"/>
      <c r="F58" s="56"/>
      <c r="G58" s="56"/>
      <c r="H58" s="56"/>
      <c r="I58" s="56"/>
      <c r="J58" s="56"/>
      <c r="K58" s="56"/>
      <c r="L58" s="56"/>
      <c r="M58" s="57">
        <v>565</v>
      </c>
      <c r="N58" s="57">
        <f>M58</f>
        <v>565</v>
      </c>
      <c r="O58" s="59">
        <f>IF(N58=I58,I58*(1+$D$97)^6,N58)</f>
        <v>565</v>
      </c>
      <c r="P58" s="59">
        <f t="shared" ref="P58" si="31">IF(O58=J58,J58*(1+$D$97)^6,O58)</f>
        <v>565</v>
      </c>
      <c r="Q58" s="59">
        <f t="shared" ref="Q58" si="32">IF(P58=K58,K58*(1+$D$97)^6,P58)</f>
        <v>565</v>
      </c>
      <c r="R58" s="59">
        <f t="shared" ref="R58" si="33">IF(Q58=L58,L58*(1+$D$97)^6,Q58)</f>
        <v>565</v>
      </c>
      <c r="S58" s="59">
        <f t="shared" ref="S58" si="34">IF(R58=M58,M58*(1+$D$97)^6,R58)</f>
        <v>636.28176688415999</v>
      </c>
      <c r="T58" s="59">
        <f t="shared" ref="T58" si="35">IF(S58=N58,N58*(1+$D$97)^6,S58)</f>
        <v>636.28176688415999</v>
      </c>
      <c r="U58" s="59"/>
      <c r="V58" s="59"/>
    </row>
    <row r="59" spans="1:22" ht="14.1" customHeight="1" x14ac:dyDescent="0.3">
      <c r="A59" s="78">
        <v>2011</v>
      </c>
      <c r="B59" s="53"/>
      <c r="C59" s="54">
        <v>2</v>
      </c>
      <c r="D59" s="55">
        <v>15400</v>
      </c>
      <c r="E59" s="53"/>
      <c r="F59" s="53"/>
      <c r="G59" s="53"/>
      <c r="H59" s="53"/>
      <c r="I59" s="53"/>
      <c r="J59" s="53"/>
      <c r="K59" s="53"/>
      <c r="L59" s="53"/>
      <c r="M59" s="53"/>
      <c r="N59" s="53">
        <v>1</v>
      </c>
      <c r="O59" s="53">
        <v>2</v>
      </c>
      <c r="P59" s="53">
        <v>3</v>
      </c>
      <c r="Q59" s="53">
        <v>4</v>
      </c>
      <c r="R59" s="53">
        <v>5</v>
      </c>
      <c r="S59" s="53">
        <v>6</v>
      </c>
      <c r="T59" s="53">
        <v>7</v>
      </c>
      <c r="U59" s="53"/>
      <c r="V59" s="53"/>
    </row>
    <row r="60" spans="1:22" ht="14.1" customHeight="1" x14ac:dyDescent="0.3">
      <c r="A60" s="62"/>
      <c r="B60" s="48" t="s">
        <v>0</v>
      </c>
      <c r="C60" s="48"/>
      <c r="D60" s="52"/>
      <c r="E60" s="48"/>
      <c r="F60" s="48"/>
      <c r="G60" s="48"/>
      <c r="H60" s="48"/>
      <c r="I60" s="48"/>
      <c r="J60" s="48"/>
      <c r="K60" s="48"/>
      <c r="L60" s="48"/>
      <c r="M60" s="56"/>
      <c r="N60" s="57">
        <v>3353.7</v>
      </c>
      <c r="O60" s="52">
        <f>N60*(1+HLOOKUP('Exh 5 Stores IS'!O59,'Exh 10 Forecast Parameters'!$A$2:$P$17,2,0))*(1+HLOOKUP(O$2,'Exh 2 Econ Indicators'!$A$2:$S$8,7,0))</f>
        <v>5879.237321999999</v>
      </c>
      <c r="P60" s="52">
        <f>O60*(1+HLOOKUP('Exh 5 Stores IS'!P59,'Exh 10 Forecast Parameters'!$A$2:$P$17,2,0))*(1+HLOOKUP(P$2,'Exh 2 Econ Indicators'!$A$2:$S$8,7,0))</f>
        <v>8068.5477159663587</v>
      </c>
      <c r="Q60" s="52">
        <f>P60*(1+HLOOKUP('Exh 5 Stores IS'!Q59,'Exh 10 Forecast Parameters'!$A$2:$P$17,2,0))*(1+HLOOKUP(Q$2,'Exh 2 Econ Indicators'!$A$2:$S$8,7,0))</f>
        <v>10174.067516638645</v>
      </c>
      <c r="R60" s="52">
        <f>Q60*(1+HLOOKUP('Exh 5 Stores IS'!R59,'Exh 10 Forecast Parameters'!$A$2:$P$17,2,0))*(1+HLOOKUP(R$2,'Exh 2 Econ Indicators'!$A$2:$S$8,7,0))</f>
        <v>11428.814915330657</v>
      </c>
      <c r="S60" s="52">
        <f>R60*(1+HLOOKUP('Exh 5 Stores IS'!S59,'Exh 10 Forecast Parameters'!$A$2:$P$17,2,0))*(1+HLOOKUP(S$2,'Exh 2 Econ Indicators'!$A$2:$S$8,7,0))</f>
        <v>11855.452576119949</v>
      </c>
      <c r="T60" s="52">
        <f>S60*(1+HLOOKUP('Exh 5 Stores IS'!T59,'Exh 10 Forecast Parameters'!$A$2:$P$17,2,0))*(1+HLOOKUP(T$2,'Exh 2 Econ Indicators'!$A$2:$S$8,7,0))</f>
        <v>12128.839312525275</v>
      </c>
      <c r="U60" s="52"/>
      <c r="V60" s="52"/>
    </row>
    <row r="61" spans="1:22" ht="14.1" customHeight="1" x14ac:dyDescent="0.3">
      <c r="A61" s="62"/>
      <c r="B61" s="48" t="s">
        <v>1</v>
      </c>
      <c r="C61" s="48"/>
      <c r="D61" s="52"/>
      <c r="E61" s="48"/>
      <c r="F61" s="48"/>
      <c r="G61" s="48"/>
      <c r="H61" s="48"/>
      <c r="I61" s="48"/>
      <c r="J61" s="48"/>
      <c r="K61" s="48"/>
      <c r="L61" s="48"/>
      <c r="M61" s="52"/>
      <c r="N61" s="57">
        <v>2357.1</v>
      </c>
      <c r="O61" s="52">
        <f>O60*HLOOKUP('Exh 5 Stores IS'!O59,'Exh 10 Forecast Parameters'!$A$2:$P$17,3,0)</f>
        <v>3745.0741741139996</v>
      </c>
      <c r="P61" s="52">
        <f>P60*HLOOKUP('Exh 5 Stores IS'!P59,'Exh 10 Forecast Parameters'!$A$2:$P$17,3,0)</f>
        <v>4534.5238163730937</v>
      </c>
      <c r="Q61" s="52">
        <f>Q60*HLOOKUP('Exh 5 Stores IS'!Q59,'Exh 10 Forecast Parameters'!$A$2:$P$17,3,0)</f>
        <v>4039.1048041055419</v>
      </c>
      <c r="R61" s="52">
        <f>R60*HLOOKUP('Exh 5 Stores IS'!R59,'Exh 10 Forecast Parameters'!$A$2:$P$17,3,0)</f>
        <v>4537.239521386271</v>
      </c>
      <c r="S61" s="52">
        <f>S60*HLOOKUP('Exh 5 Stores IS'!S59,'Exh 10 Forecast Parameters'!$A$2:$P$17,3,0)</f>
        <v>4706.6146727196201</v>
      </c>
      <c r="T61" s="52">
        <f>T60*HLOOKUP('Exh 5 Stores IS'!T59,'Exh 10 Forecast Parameters'!$A$2:$P$17,3,0)</f>
        <v>4815.1492070725344</v>
      </c>
      <c r="U61" s="52"/>
      <c r="V61" s="52"/>
    </row>
    <row r="62" spans="1:22" ht="14.1" customHeight="1" x14ac:dyDescent="0.3">
      <c r="A62" s="62"/>
      <c r="B62" s="48" t="s">
        <v>17</v>
      </c>
      <c r="C62" s="48"/>
      <c r="D62" s="52"/>
      <c r="E62" s="48"/>
      <c r="F62" s="48"/>
      <c r="G62" s="52"/>
      <c r="H62" s="52"/>
      <c r="I62" s="52"/>
      <c r="J62" s="52"/>
      <c r="K62" s="52"/>
      <c r="L62" s="52"/>
      <c r="M62" s="52"/>
      <c r="N62" s="57">
        <v>700.9</v>
      </c>
      <c r="O62" s="52">
        <f>O60*HLOOKUP('Exh 5 Stores IS'!O59,'Exh 10 Forecast Parameters'!$A$2:$P$17,4,0)</f>
        <v>1075.9004299259998</v>
      </c>
      <c r="P62" s="52">
        <f>P60*HLOOKUP('Exh 5 Stores IS'!P59,'Exh 10 Forecast Parameters'!$A$2:$P$17,4,0)</f>
        <v>1395.8587548621799</v>
      </c>
      <c r="Q62" s="52">
        <f>Q60*HLOOKUP('Exh 5 Stores IS'!Q59,'Exh 10 Forecast Parameters'!$A$2:$P$17,4,0)</f>
        <v>1383.6731822628558</v>
      </c>
      <c r="R62" s="52">
        <f>R60*HLOOKUP('Exh 5 Stores IS'!R59,'Exh 10 Forecast Parameters'!$A$2:$P$17,4,0)</f>
        <v>1554.3188284849693</v>
      </c>
      <c r="S62" s="52">
        <f>S60*HLOOKUP('Exh 5 Stores IS'!S59,'Exh 10 Forecast Parameters'!$A$2:$P$17,4,0)</f>
        <v>1612.3415503523133</v>
      </c>
      <c r="T62" s="52">
        <f>T60*HLOOKUP('Exh 5 Stores IS'!T59,'Exh 10 Forecast Parameters'!$A$2:$P$17,4,0)</f>
        <v>1649.5221465034376</v>
      </c>
      <c r="U62" s="52"/>
      <c r="V62" s="52"/>
    </row>
    <row r="63" spans="1:22" ht="14.1" customHeight="1" x14ac:dyDescent="0.3">
      <c r="A63" s="62"/>
      <c r="B63" s="48" t="s">
        <v>15</v>
      </c>
      <c r="C63" s="48"/>
      <c r="D63" s="52"/>
      <c r="E63" s="48"/>
      <c r="F63" s="48"/>
      <c r="G63" s="52"/>
      <c r="H63" s="52"/>
      <c r="I63" s="52"/>
      <c r="J63" s="52"/>
      <c r="K63" s="52"/>
      <c r="L63" s="52"/>
      <c r="M63" s="52"/>
      <c r="N63" s="57">
        <v>358.3</v>
      </c>
      <c r="O63" s="52">
        <f>O60*HLOOKUP('Exh 5 Stores IS'!O59,'Exh 10 Forecast Parameters'!$A$2:$P$17,5,0)</f>
        <v>523.25212165799985</v>
      </c>
      <c r="P63" s="52">
        <f>P60*HLOOKUP('Exh 5 Stores IS'!P59,'Exh 10 Forecast Parameters'!$A$2:$P$17,5,0)</f>
        <v>661.62091270924145</v>
      </c>
      <c r="Q63" s="52">
        <f>Q60*HLOOKUP('Exh 5 Stores IS'!Q59,'Exh 10 Forecast Parameters'!$A$2:$P$17,5,0)</f>
        <v>732.53286119798236</v>
      </c>
      <c r="R63" s="52">
        <f>R60*HLOOKUP('Exh 5 Stores IS'!R59,'Exh 10 Forecast Parameters'!$A$2:$P$17,5,0)</f>
        <v>822.87467390380721</v>
      </c>
      <c r="S63" s="52">
        <f>S60*HLOOKUP('Exh 5 Stores IS'!S59,'Exh 10 Forecast Parameters'!$A$2:$P$17,5,0)</f>
        <v>853.59258548063633</v>
      </c>
      <c r="T63" s="52">
        <f>T60*HLOOKUP('Exh 5 Stores IS'!T59,'Exh 10 Forecast Parameters'!$A$2:$P$17,5,0)</f>
        <v>873.27643050181973</v>
      </c>
      <c r="U63" s="52"/>
      <c r="V63" s="52"/>
    </row>
    <row r="64" spans="1:22" ht="14.1" customHeight="1" x14ac:dyDescent="0.3">
      <c r="A64" s="62"/>
      <c r="B64" s="48" t="s">
        <v>16</v>
      </c>
      <c r="C64" s="48"/>
      <c r="D64" s="52"/>
      <c r="E64" s="48"/>
      <c r="F64" s="56"/>
      <c r="G64" s="56"/>
      <c r="H64" s="56"/>
      <c r="I64" s="56"/>
      <c r="J64" s="56"/>
      <c r="K64" s="56"/>
      <c r="L64" s="56"/>
      <c r="M64" s="56"/>
      <c r="N64" s="57">
        <f>SUM('Exh 6 Stores BS'!I60:M60)/5</f>
        <v>159.6</v>
      </c>
      <c r="O64" s="56">
        <v>159.6</v>
      </c>
      <c r="P64" s="56">
        <v>159.6</v>
      </c>
      <c r="Q64" s="56">
        <v>159.6</v>
      </c>
      <c r="R64" s="56">
        <v>159.6</v>
      </c>
      <c r="S64" s="56">
        <v>0</v>
      </c>
      <c r="T64" s="56">
        <v>0</v>
      </c>
      <c r="U64" s="56"/>
      <c r="V64" s="56"/>
    </row>
    <row r="65" spans="1:22" ht="14.1" customHeight="1" x14ac:dyDescent="0.3">
      <c r="A65" s="62"/>
      <c r="B65" s="48" t="s">
        <v>9</v>
      </c>
      <c r="C65" s="48"/>
      <c r="D65" s="52"/>
      <c r="E65" s="60"/>
      <c r="F65" s="56"/>
      <c r="G65" s="56"/>
      <c r="H65" s="56"/>
      <c r="I65" s="56"/>
      <c r="J65" s="56"/>
      <c r="K65" s="56"/>
      <c r="L65" s="56"/>
      <c r="M65" s="56"/>
      <c r="N65" s="57">
        <v>610</v>
      </c>
      <c r="O65" s="59">
        <f>IF(N65=I65,I65*(1+$D$97)^6,N65)</f>
        <v>610</v>
      </c>
      <c r="P65" s="59">
        <f t="shared" ref="P65" si="36">IF(O65=J65,J65*(1+$D$97)^6,O65)</f>
        <v>610</v>
      </c>
      <c r="Q65" s="59">
        <f t="shared" ref="Q65" si="37">IF(P65=K65,K65*(1+$D$97)^6,P65)</f>
        <v>610</v>
      </c>
      <c r="R65" s="59">
        <f t="shared" ref="R65" si="38">IF(Q65=L65,L65*(1+$D$97)^6,Q65)</f>
        <v>610</v>
      </c>
      <c r="S65" s="59">
        <f t="shared" ref="S65" si="39">IF(R65=M65,M65*(1+$D$97)^6,R65)</f>
        <v>610</v>
      </c>
      <c r="T65" s="59">
        <f t="shared" ref="T65" si="40">IF(S65=N65,N65*(1+$D$97)^6,S65)</f>
        <v>686.95907575104002</v>
      </c>
      <c r="U65" s="56"/>
      <c r="V65" s="59"/>
    </row>
    <row r="66" spans="1:22" ht="14.1" customHeight="1" x14ac:dyDescent="0.3">
      <c r="A66" s="78">
        <v>2012</v>
      </c>
      <c r="B66" s="53"/>
      <c r="C66" s="54">
        <v>3</v>
      </c>
      <c r="D66" s="55">
        <v>16300</v>
      </c>
      <c r="E66" s="53"/>
      <c r="F66" s="53"/>
      <c r="G66" s="53"/>
      <c r="H66" s="53"/>
      <c r="I66" s="53"/>
      <c r="J66" s="53"/>
      <c r="K66" s="53"/>
      <c r="L66" s="53"/>
      <c r="M66" s="53"/>
      <c r="N66" s="53"/>
      <c r="O66" s="53">
        <v>1</v>
      </c>
      <c r="P66" s="53">
        <v>2</v>
      </c>
      <c r="Q66" s="53">
        <v>3</v>
      </c>
      <c r="R66" s="53">
        <v>4</v>
      </c>
      <c r="S66" s="53">
        <v>5</v>
      </c>
      <c r="T66" s="53">
        <v>6</v>
      </c>
      <c r="U66" s="53"/>
      <c r="V66" s="53"/>
    </row>
    <row r="67" spans="1:22" ht="14.1" customHeight="1" x14ac:dyDescent="0.3">
      <c r="A67" s="62"/>
      <c r="B67" s="48" t="s">
        <v>0</v>
      </c>
      <c r="C67" s="48"/>
      <c r="D67" s="52"/>
      <c r="E67" s="48"/>
      <c r="F67" s="48"/>
      <c r="G67" s="48"/>
      <c r="H67" s="48"/>
      <c r="I67" s="48"/>
      <c r="J67" s="48"/>
      <c r="K67" s="48"/>
      <c r="L67" s="48"/>
      <c r="M67" s="48"/>
      <c r="N67" s="56"/>
      <c r="O67" s="57">
        <f>110*C66*D66/1000</f>
        <v>5379</v>
      </c>
      <c r="P67" s="52">
        <f>O67*(1+HLOOKUP('Exh 5 Stores IS'!P66,'Exh 10 Forecast Parameters'!$A$2:$P$17,2,0))*(1+HLOOKUP(P$2,'Exh 2 Econ Indicators'!$A$2:$S$8,7,0))</f>
        <v>9411.3996239999997</v>
      </c>
      <c r="Q67" s="52">
        <f>P67*(1+HLOOKUP('Exh 5 Stores IS'!Q66,'Exh 10 Forecast Parameters'!$A$2:$P$17,2,0))*(1+HLOOKUP(Q$2,'Exh 2 Econ Indicators'!$A$2:$S$8,7,0))</f>
        <v>12890.88817898904</v>
      </c>
      <c r="R67" s="52">
        <f>Q67*(1+HLOOKUP('Exh 5 Stores IS'!R66,'Exh 10 Forecast Parameters'!$A$2:$P$17,2,0))*(1+HLOOKUP(R$2,'Exh 2 Econ Indicators'!$A$2:$S$8,7,0))</f>
        <v>16223.131209704992</v>
      </c>
      <c r="S67" s="52">
        <f>R67*(1+HLOOKUP('Exh 5 Stores IS'!S66,'Exh 10 Forecast Parameters'!$A$2:$P$17,2,0))*(1+HLOOKUP(S$2,'Exh 2 Econ Indicators'!$A$2:$S$8,7,0))</f>
        <v>18188.303985661394</v>
      </c>
      <c r="T67" s="52">
        <f>S67*(1+HLOOKUP('Exh 5 Stores IS'!T66,'Exh 10 Forecast Parameters'!$A$2:$P$17,2,0))*(1+HLOOKUP(T$2,'Exh 2 Econ Indicators'!$A$2:$S$8,7,0))</f>
        <v>18830.351116355239</v>
      </c>
      <c r="U67" s="52"/>
      <c r="V67" s="52"/>
    </row>
    <row r="68" spans="1:22" ht="14.1" customHeight="1" x14ac:dyDescent="0.3">
      <c r="A68" s="62"/>
      <c r="B68" s="48" t="s">
        <v>1</v>
      </c>
      <c r="C68" s="48"/>
      <c r="D68" s="52"/>
      <c r="E68" s="48"/>
      <c r="F68" s="48"/>
      <c r="G68" s="48"/>
      <c r="H68" s="48"/>
      <c r="I68" s="48"/>
      <c r="J68" s="48"/>
      <c r="K68" s="48"/>
      <c r="L68" s="48"/>
      <c r="M68" s="48"/>
      <c r="N68" s="52"/>
      <c r="O68" s="52">
        <f>O67*HLOOKUP('Exh 5 Stores IS'!O66,'Exh 10 Forecast Parameters'!$A$2:$P$17,3,0)</f>
        <v>3813.7109999999998</v>
      </c>
      <c r="P68" s="52">
        <f>P67*HLOOKUP('Exh 5 Stores IS'!P66,'Exh 10 Forecast Parameters'!$A$2:$P$17,3,0)</f>
        <v>5995.0615604879995</v>
      </c>
      <c r="Q68" s="52">
        <f>Q67*HLOOKUP('Exh 5 Stores IS'!Q66,'Exh 10 Forecast Parameters'!$A$2:$P$17,3,0)</f>
        <v>7244.6791565918411</v>
      </c>
      <c r="R68" s="52">
        <f>R67*HLOOKUP('Exh 5 Stores IS'!R66,'Exh 10 Forecast Parameters'!$A$2:$P$17,3,0)</f>
        <v>6440.5830902528824</v>
      </c>
      <c r="S68" s="52">
        <f>S67*HLOOKUP('Exh 5 Stores IS'!S66,'Exh 10 Forecast Parameters'!$A$2:$P$17,3,0)</f>
        <v>7220.756682307574</v>
      </c>
      <c r="T68" s="52">
        <f>T67*HLOOKUP('Exh 5 Stores IS'!T66,'Exh 10 Forecast Parameters'!$A$2:$P$17,3,0)</f>
        <v>7475.6493931930308</v>
      </c>
      <c r="U68" s="52"/>
      <c r="V68" s="52"/>
    </row>
    <row r="69" spans="1:22" ht="14.1" customHeight="1" x14ac:dyDescent="0.3">
      <c r="A69" s="62"/>
      <c r="B69" s="48" t="s">
        <v>17</v>
      </c>
      <c r="C69" s="48"/>
      <c r="D69" s="52"/>
      <c r="E69" s="48"/>
      <c r="F69" s="48"/>
      <c r="G69" s="52"/>
      <c r="H69" s="52"/>
      <c r="I69" s="52"/>
      <c r="J69" s="52"/>
      <c r="K69" s="52"/>
      <c r="L69" s="52"/>
      <c r="M69" s="52"/>
      <c r="N69" s="52"/>
      <c r="O69" s="52">
        <f>O67*HLOOKUP('Exh 5 Stores IS'!O66,'Exh 10 Forecast Parameters'!$A$2:$P$17,4,0)</f>
        <v>1038.1469999999999</v>
      </c>
      <c r="P69" s="52">
        <f>P67*HLOOKUP('Exh 5 Stores IS'!P66,'Exh 10 Forecast Parameters'!$A$2:$P$17,4,0)</f>
        <v>1722.2861311919999</v>
      </c>
      <c r="Q69" s="52">
        <f>Q67*HLOOKUP('Exh 5 Stores IS'!Q66,'Exh 10 Forecast Parameters'!$A$2:$P$17,4,0)</f>
        <v>2230.1236549651039</v>
      </c>
      <c r="R69" s="52">
        <f>R67*HLOOKUP('Exh 5 Stores IS'!R66,'Exh 10 Forecast Parameters'!$A$2:$P$17,4,0)</f>
        <v>2206.3458445198789</v>
      </c>
      <c r="S69" s="52">
        <f>S67*HLOOKUP('Exh 5 Stores IS'!S66,'Exh 10 Forecast Parameters'!$A$2:$P$17,4,0)</f>
        <v>2473.6093420499496</v>
      </c>
      <c r="T69" s="52">
        <f>T67*HLOOKUP('Exh 5 Stores IS'!T66,'Exh 10 Forecast Parameters'!$A$2:$P$17,4,0)</f>
        <v>2560.927751824313</v>
      </c>
      <c r="U69" s="52"/>
      <c r="V69" s="52"/>
    </row>
    <row r="70" spans="1:22" ht="14.1" customHeight="1" x14ac:dyDescent="0.3">
      <c r="A70" s="62"/>
      <c r="B70" s="48" t="s">
        <v>15</v>
      </c>
      <c r="C70" s="48"/>
      <c r="D70" s="52"/>
      <c r="E70" s="48"/>
      <c r="F70" s="48"/>
      <c r="G70" s="52"/>
      <c r="H70" s="52"/>
      <c r="I70" s="52"/>
      <c r="J70" s="52"/>
      <c r="K70" s="52"/>
      <c r="L70" s="52"/>
      <c r="M70" s="52"/>
      <c r="N70" s="52"/>
      <c r="O70" s="52">
        <f>O67*HLOOKUP('Exh 5 Stores IS'!O66,'Exh 10 Forecast Parameters'!$A$2:$P$17,5,0)</f>
        <v>570.17399999999998</v>
      </c>
      <c r="P70" s="52">
        <f>P67*HLOOKUP('Exh 5 Stores IS'!P66,'Exh 10 Forecast Parameters'!$A$2:$P$17,5,0)</f>
        <v>837.61456653599998</v>
      </c>
      <c r="Q70" s="52">
        <f>Q67*HLOOKUP('Exh 5 Stores IS'!Q66,'Exh 10 Forecast Parameters'!$A$2:$P$17,5,0)</f>
        <v>1057.0528306771014</v>
      </c>
      <c r="R70" s="52">
        <f>R67*HLOOKUP('Exh 5 Stores IS'!R66,'Exh 10 Forecast Parameters'!$A$2:$P$17,5,0)</f>
        <v>1168.0654470987593</v>
      </c>
      <c r="S70" s="52">
        <f>S67*HLOOKUP('Exh 5 Stores IS'!S66,'Exh 10 Forecast Parameters'!$A$2:$P$17,5,0)</f>
        <v>1309.5578869676203</v>
      </c>
      <c r="T70" s="52">
        <f>T67*HLOOKUP('Exh 5 Stores IS'!T66,'Exh 10 Forecast Parameters'!$A$2:$P$17,5,0)</f>
        <v>1355.7852803775772</v>
      </c>
      <c r="U70" s="52"/>
      <c r="V70" s="52"/>
    </row>
    <row r="71" spans="1:22" ht="14.1" customHeight="1" x14ac:dyDescent="0.3">
      <c r="A71" s="62"/>
      <c r="B71" s="48" t="s">
        <v>16</v>
      </c>
      <c r="C71" s="48"/>
      <c r="D71" s="52"/>
      <c r="E71" s="48"/>
      <c r="F71" s="56"/>
      <c r="G71" s="56"/>
      <c r="H71" s="56"/>
      <c r="I71" s="56"/>
      <c r="J71" s="56"/>
      <c r="K71" s="56"/>
      <c r="L71" s="56"/>
      <c r="M71" s="56"/>
      <c r="N71" s="56"/>
      <c r="O71" s="56">
        <v>258.60000000000002</v>
      </c>
      <c r="P71" s="56">
        <v>258.60000000000002</v>
      </c>
      <c r="Q71" s="56">
        <v>258.60000000000002</v>
      </c>
      <c r="R71" s="56">
        <v>258.60000000000002</v>
      </c>
      <c r="S71" s="56">
        <v>258.60000000000002</v>
      </c>
      <c r="T71" s="56">
        <v>0</v>
      </c>
      <c r="U71" s="56"/>
      <c r="V71" s="56"/>
    </row>
    <row r="72" spans="1:22" ht="14.1" customHeight="1" x14ac:dyDescent="0.3">
      <c r="A72" s="62"/>
      <c r="B72" s="48" t="s">
        <v>9</v>
      </c>
      <c r="C72" s="48"/>
      <c r="D72" s="52"/>
      <c r="E72" s="60"/>
      <c r="F72" s="56"/>
      <c r="G72" s="56"/>
      <c r="H72" s="56"/>
      <c r="I72" s="56"/>
      <c r="J72" s="56"/>
      <c r="K72" s="56"/>
      <c r="L72" s="56"/>
      <c r="M72" s="56"/>
      <c r="N72" s="56"/>
      <c r="O72" s="57">
        <v>1000</v>
      </c>
      <c r="P72" s="59">
        <f>IF(O72=J72,J72*(1+$D$97)^6,O72)</f>
        <v>1000</v>
      </c>
      <c r="Q72" s="59">
        <f t="shared" ref="Q72" si="41">IF(P72=K72,K72*(1+$D$97)^6,P72)</f>
        <v>1000</v>
      </c>
      <c r="R72" s="59">
        <f t="shared" ref="R72" si="42">IF(Q72=L72,L72*(1+$D$97)^6,Q72)</f>
        <v>1000</v>
      </c>
      <c r="S72" s="59">
        <f t="shared" ref="S72" si="43">IF(R72=M72,M72*(1+$D$97)^6,R72)</f>
        <v>1000</v>
      </c>
      <c r="T72" s="59">
        <f t="shared" ref="T72" si="44">IF(S72=N72,N72*(1+$D$97)^6,S72)</f>
        <v>1000</v>
      </c>
      <c r="U72" s="59"/>
      <c r="V72" s="56"/>
    </row>
    <row r="73" spans="1:22" ht="14.1" customHeight="1" x14ac:dyDescent="0.3">
      <c r="A73" s="78">
        <v>2013</v>
      </c>
      <c r="B73" s="53"/>
      <c r="C73" s="54">
        <v>2</v>
      </c>
      <c r="D73" s="55">
        <v>16000</v>
      </c>
      <c r="E73" s="53"/>
      <c r="F73" s="53"/>
      <c r="G73" s="53"/>
      <c r="H73" s="53"/>
      <c r="I73" s="53"/>
      <c r="J73" s="53"/>
      <c r="K73" s="53"/>
      <c r="L73" s="53"/>
      <c r="M73" s="53"/>
      <c r="N73" s="53"/>
      <c r="O73" s="53"/>
      <c r="P73" s="53">
        <v>1</v>
      </c>
      <c r="Q73" s="53">
        <v>2</v>
      </c>
      <c r="R73" s="53">
        <v>3</v>
      </c>
      <c r="S73" s="53">
        <v>4</v>
      </c>
      <c r="T73" s="53">
        <v>5</v>
      </c>
      <c r="U73" s="53"/>
      <c r="V73" s="53"/>
    </row>
    <row r="74" spans="1:22" ht="14.1" customHeight="1" x14ac:dyDescent="0.3">
      <c r="A74" s="62"/>
      <c r="B74" s="48" t="s">
        <v>0</v>
      </c>
      <c r="C74" s="48"/>
      <c r="D74" s="52"/>
      <c r="E74" s="48"/>
      <c r="F74" s="48"/>
      <c r="G74" s="48"/>
      <c r="H74" s="48"/>
      <c r="I74" s="48"/>
      <c r="J74" s="48"/>
      <c r="K74" s="48"/>
      <c r="L74" s="48"/>
      <c r="M74" s="56"/>
      <c r="N74" s="52"/>
      <c r="O74" s="52"/>
      <c r="P74" s="57">
        <f>113.2*C73*D73/1000</f>
        <v>3622.4</v>
      </c>
      <c r="Q74" s="52">
        <f>P74*(1+HLOOKUP('Exh 5 Stores IS'!Q73,'Exh 10 Forecast Parameters'!$A$2:$P$17,2,0))*(1+HLOOKUP(Q$2,'Exh 2 Econ Indicators'!$A$2:$S$8,7,0))</f>
        <v>6325.6232448000001</v>
      </c>
      <c r="R74" s="52">
        <f>Q74*(1+HLOOKUP('Exh 5 Stores IS'!R73,'Exh 10 Forecast Parameters'!$A$2:$P$17,2,0))*(1+HLOOKUP(R$2,'Exh 2 Econ Indicators'!$A$2:$S$8,7,0))</f>
        <v>8647.3800005713929</v>
      </c>
      <c r="S74" s="52">
        <f>R74*(1+HLOOKUP('Exh 5 Stores IS'!S73,'Exh 10 Forecast Parameters'!$A$2:$P$17,2,0))*(1+HLOOKUP(S$2,'Exh 2 Econ Indicators'!$A$2:$S$8,7,0))</f>
        <v>10861.437881157693</v>
      </c>
      <c r="T74" s="52">
        <f>S74*(1+HLOOKUP('Exh 5 Stores IS'!T73,'Exh 10 Forecast Parameters'!$A$2:$P$17,2,0))*(1+HLOOKUP(T$2,'Exh 2 Econ Indicators'!$A$2:$S$8,7,0))</f>
        <v>12153.297302742591</v>
      </c>
      <c r="U74" s="52"/>
      <c r="V74" s="52"/>
    </row>
    <row r="75" spans="1:22" ht="14.1" customHeight="1" x14ac:dyDescent="0.3">
      <c r="A75" s="62"/>
      <c r="B75" s="48" t="s">
        <v>1</v>
      </c>
      <c r="C75" s="48"/>
      <c r="D75" s="52"/>
      <c r="E75" s="48"/>
      <c r="F75" s="48"/>
      <c r="G75" s="48"/>
      <c r="H75" s="48"/>
      <c r="I75" s="48"/>
      <c r="J75" s="48"/>
      <c r="K75" s="48"/>
      <c r="L75" s="48"/>
      <c r="M75" s="52"/>
      <c r="N75" s="52"/>
      <c r="O75" s="52"/>
      <c r="P75" s="52">
        <f>P74*HLOOKUP('Exh 5 Stores IS'!P73,'Exh 10 Forecast Parameters'!$A$2:$P$17,3,0)</f>
        <v>2568.2815999999998</v>
      </c>
      <c r="Q75" s="52">
        <f>Q74*HLOOKUP('Exh 5 Stores IS'!Q73,'Exh 10 Forecast Parameters'!$A$2:$P$17,3,0)</f>
        <v>4029.4220069376001</v>
      </c>
      <c r="R75" s="52">
        <f>R74*HLOOKUP('Exh 5 Stores IS'!R73,'Exh 10 Forecast Parameters'!$A$2:$P$17,3,0)</f>
        <v>4859.8275603211232</v>
      </c>
      <c r="S75" s="52">
        <f>S74*HLOOKUP('Exh 5 Stores IS'!S73,'Exh 10 Forecast Parameters'!$A$2:$P$17,3,0)</f>
        <v>4311.9908388196045</v>
      </c>
      <c r="T75" s="52">
        <f>T74*HLOOKUP('Exh 5 Stores IS'!T73,'Exh 10 Forecast Parameters'!$A$2:$P$17,3,0)</f>
        <v>4824.8590291888086</v>
      </c>
      <c r="U75" s="52"/>
      <c r="V75" s="52"/>
    </row>
    <row r="76" spans="1:22" ht="14.1" customHeight="1" x14ac:dyDescent="0.3">
      <c r="A76" s="62"/>
      <c r="B76" s="48" t="s">
        <v>17</v>
      </c>
      <c r="C76" s="48"/>
      <c r="D76" s="52"/>
      <c r="E76" s="48"/>
      <c r="F76" s="48"/>
      <c r="G76" s="52"/>
      <c r="H76" s="52"/>
      <c r="I76" s="52"/>
      <c r="J76" s="52"/>
      <c r="K76" s="52"/>
      <c r="L76" s="52"/>
      <c r="M76" s="52"/>
      <c r="N76" s="52"/>
      <c r="O76" s="52"/>
      <c r="P76" s="52">
        <f>P74*HLOOKUP('Exh 5 Stores IS'!P73,'Exh 10 Forecast Parameters'!$A$2:$P$17,4,0)</f>
        <v>699.1232</v>
      </c>
      <c r="Q76" s="52">
        <f>Q74*HLOOKUP('Exh 5 Stores IS'!Q73,'Exh 10 Forecast Parameters'!$A$2:$P$17,4,0)</f>
        <v>1157.5890537984001</v>
      </c>
      <c r="R76" s="52">
        <f>R74*HLOOKUP('Exh 5 Stores IS'!R73,'Exh 10 Forecast Parameters'!$A$2:$P$17,4,0)</f>
        <v>1495.9967400988508</v>
      </c>
      <c r="S76" s="52">
        <f>S74*HLOOKUP('Exh 5 Stores IS'!S73,'Exh 10 Forecast Parameters'!$A$2:$P$17,4,0)</f>
        <v>1477.1555518374464</v>
      </c>
      <c r="T76" s="52">
        <f>T74*HLOOKUP('Exh 5 Stores IS'!T73,'Exh 10 Forecast Parameters'!$A$2:$P$17,4,0)</f>
        <v>1652.8484331729924</v>
      </c>
      <c r="U76" s="52"/>
      <c r="V76" s="52"/>
    </row>
    <row r="77" spans="1:22" ht="14.1" customHeight="1" x14ac:dyDescent="0.3">
      <c r="A77" s="62"/>
      <c r="B77" s="48" t="s">
        <v>15</v>
      </c>
      <c r="C77" s="48"/>
      <c r="D77" s="52"/>
      <c r="E77" s="48"/>
      <c r="F77" s="48"/>
      <c r="G77" s="52"/>
      <c r="H77" s="52"/>
      <c r="I77" s="52"/>
      <c r="J77" s="52"/>
      <c r="K77" s="52"/>
      <c r="L77" s="52"/>
      <c r="M77" s="52"/>
      <c r="N77" s="52"/>
      <c r="O77" s="52"/>
      <c r="P77" s="52">
        <f>P74*HLOOKUP('Exh 5 Stores IS'!P73,'Exh 10 Forecast Parameters'!$A$2:$P$17,5,0)</f>
        <v>383.9744</v>
      </c>
      <c r="Q77" s="52">
        <f>Q74*HLOOKUP('Exh 5 Stores IS'!Q73,'Exh 10 Forecast Parameters'!$A$2:$P$17,5,0)</f>
        <v>562.98046878719992</v>
      </c>
      <c r="R77" s="52">
        <f>R74*HLOOKUP('Exh 5 Stores IS'!R73,'Exh 10 Forecast Parameters'!$A$2:$P$17,5,0)</f>
        <v>709.0851600468543</v>
      </c>
      <c r="S77" s="52">
        <f>S74*HLOOKUP('Exh 5 Stores IS'!S73,'Exh 10 Forecast Parameters'!$A$2:$P$17,5,0)</f>
        <v>782.02352744335383</v>
      </c>
      <c r="T77" s="52">
        <f>T74*HLOOKUP('Exh 5 Stores IS'!T73,'Exh 10 Forecast Parameters'!$A$2:$P$17,5,0)</f>
        <v>875.03740579746648</v>
      </c>
      <c r="U77" s="52"/>
      <c r="V77" s="52"/>
    </row>
    <row r="78" spans="1:22" ht="14.1" customHeight="1" x14ac:dyDescent="0.3">
      <c r="A78" s="62"/>
      <c r="B78" s="48" t="s">
        <v>16</v>
      </c>
      <c r="C78" s="48"/>
      <c r="D78" s="52"/>
      <c r="E78" s="48"/>
      <c r="F78" s="56"/>
      <c r="G78" s="56"/>
      <c r="H78" s="56"/>
      <c r="I78" s="56"/>
      <c r="J78" s="56"/>
      <c r="K78" s="56"/>
      <c r="L78" s="56"/>
      <c r="M78" s="56"/>
      <c r="N78" s="56"/>
      <c r="O78" s="56"/>
      <c r="P78" s="56">
        <v>172.07000736196318</v>
      </c>
      <c r="Q78" s="56">
        <v>172.07000736196318</v>
      </c>
      <c r="R78" s="56">
        <v>172.07000736196318</v>
      </c>
      <c r="S78" s="56">
        <v>172.07000736196318</v>
      </c>
      <c r="T78" s="56">
        <v>172.07000736196318</v>
      </c>
      <c r="U78" s="56"/>
      <c r="V78" s="56"/>
    </row>
    <row r="79" spans="1:22" ht="14.1" customHeight="1" x14ac:dyDescent="0.3">
      <c r="A79" s="62"/>
      <c r="B79" s="48" t="s">
        <v>9</v>
      </c>
      <c r="C79" s="48"/>
      <c r="D79" s="52"/>
      <c r="E79" s="60"/>
      <c r="F79" s="56"/>
      <c r="G79" s="56"/>
      <c r="H79" s="56"/>
      <c r="I79" s="56"/>
      <c r="J79" s="56"/>
      <c r="K79" s="56"/>
      <c r="L79" s="56"/>
      <c r="M79" s="56"/>
      <c r="N79" s="56"/>
      <c r="O79" s="56"/>
      <c r="P79" s="64">
        <f>$D$96*$C73*$D73/1000</f>
        <v>668.16</v>
      </c>
      <c r="Q79" s="59">
        <f>IF(P79=K79,K79*(1+$D$97)^6,P79)</f>
        <v>668.16</v>
      </c>
      <c r="R79" s="59">
        <f t="shared" ref="R79" si="45">IF(Q79=L79,L79*(1+$D$97)^6,Q79)</f>
        <v>668.16</v>
      </c>
      <c r="S79" s="59">
        <f t="shared" ref="S79" si="46">IF(R79=M79,M79*(1+$D$97)^6,R79)</f>
        <v>668.16</v>
      </c>
      <c r="T79" s="59">
        <f t="shared" ref="T79" si="47">IF(S79=N79,N79*(1+$D$97)^6,S79)</f>
        <v>668.16</v>
      </c>
      <c r="U79" s="59"/>
      <c r="V79" s="59"/>
    </row>
    <row r="80" spans="1:22" ht="14.1" customHeight="1" x14ac:dyDescent="0.3">
      <c r="A80" s="78">
        <v>2014</v>
      </c>
      <c r="B80" s="53"/>
      <c r="C80" s="54">
        <v>2</v>
      </c>
      <c r="D80" s="55">
        <v>16000</v>
      </c>
      <c r="E80" s="53"/>
      <c r="F80" s="53"/>
      <c r="G80" s="53"/>
      <c r="H80" s="53"/>
      <c r="I80" s="53"/>
      <c r="J80" s="53"/>
      <c r="K80" s="53"/>
      <c r="L80" s="53"/>
      <c r="M80" s="53"/>
      <c r="N80" s="53"/>
      <c r="O80" s="53"/>
      <c r="P80" s="53"/>
      <c r="Q80" s="53">
        <v>1</v>
      </c>
      <c r="R80" s="53">
        <v>2</v>
      </c>
      <c r="S80" s="53">
        <v>3</v>
      </c>
      <c r="T80" s="53">
        <v>4</v>
      </c>
      <c r="U80" s="53"/>
      <c r="V80" s="53"/>
    </row>
    <row r="81" spans="1:24" ht="14.1" customHeight="1" x14ac:dyDescent="0.3">
      <c r="A81" s="62"/>
      <c r="B81" s="48" t="s">
        <v>0</v>
      </c>
      <c r="C81" s="48"/>
      <c r="D81" s="52"/>
      <c r="E81" s="48"/>
      <c r="F81" s="48"/>
      <c r="G81" s="48"/>
      <c r="H81" s="48"/>
      <c r="I81" s="48"/>
      <c r="J81" s="48"/>
      <c r="K81" s="48"/>
      <c r="L81" s="48"/>
      <c r="M81" s="56"/>
      <c r="N81" s="52"/>
      <c r="O81" s="52"/>
      <c r="P81" s="52"/>
      <c r="Q81" s="57">
        <f>116.6*C80*D80/1000</f>
        <v>3731.2</v>
      </c>
      <c r="R81" s="52">
        <f>Q81*(1+HLOOKUP('Exh 5 Stores IS'!R80,'Exh 10 Forecast Parameters'!$A$2:$P$17,2,0))*(1+HLOOKUP(R$2,'Exh 2 Econ Indicators'!$A$2:$S$8,7,0))</f>
        <v>6502.9144575999999</v>
      </c>
      <c r="S81" s="52">
        <f>R81*(1+HLOOKUP('Exh 5 Stores IS'!S80,'Exh 10 Forecast Parameters'!$A$2:$P$17,2,0))*(1+HLOOKUP(S$2,'Exh 2 Econ Indicators'!$A$2:$S$8,7,0))</f>
        <v>8872.3813985157103</v>
      </c>
      <c r="T81" s="52">
        <f>S81*(1+HLOOKUP('Exh 5 Stores IS'!T80,'Exh 10 Forecast Parameters'!$A$2:$P$17,2,0))*(1+HLOOKUP(T$2,'Exh 2 Econ Indicators'!$A$2:$S$8,7,0))</f>
        <v>11122.239873551325</v>
      </c>
      <c r="U81" s="52"/>
      <c r="V81" s="52"/>
      <c r="W81" s="52"/>
    </row>
    <row r="82" spans="1:24" ht="14.1" customHeight="1" x14ac:dyDescent="0.3">
      <c r="A82" s="62"/>
      <c r="B82" s="48" t="s">
        <v>1</v>
      </c>
      <c r="C82" s="48"/>
      <c r="D82" s="52"/>
      <c r="E82" s="48"/>
      <c r="F82" s="48"/>
      <c r="G82" s="48"/>
      <c r="H82" s="48"/>
      <c r="I82" s="48"/>
      <c r="J82" s="48"/>
      <c r="K82" s="48"/>
      <c r="L82" s="48"/>
      <c r="M82" s="52"/>
      <c r="N82" s="52"/>
      <c r="O82" s="52"/>
      <c r="P82" s="52"/>
      <c r="Q82" s="52">
        <f>Q81*HLOOKUP('Exh 5 Stores IS'!Q80,'Exh 10 Forecast Parameters'!$A$2:$P$17,3,0)</f>
        <v>2645.4207999999999</v>
      </c>
      <c r="R82" s="52">
        <f>R81*HLOOKUP('Exh 5 Stores IS'!R80,'Exh 10 Forecast Parameters'!$A$2:$P$17,3,0)</f>
        <v>4142.3565094912001</v>
      </c>
      <c r="S82" s="52">
        <f>S81*HLOOKUP('Exh 5 Stores IS'!S80,'Exh 10 Forecast Parameters'!$A$2:$P$17,3,0)</f>
        <v>4986.2783459658294</v>
      </c>
      <c r="T82" s="52">
        <f>T81*HLOOKUP('Exh 5 Stores IS'!T80,'Exh 10 Forecast Parameters'!$A$2:$P$17,3,0)</f>
        <v>4415.5292297998767</v>
      </c>
      <c r="U82" s="52"/>
      <c r="V82" s="52"/>
      <c r="W82" s="52"/>
    </row>
    <row r="83" spans="1:24" ht="14.1" customHeight="1" x14ac:dyDescent="0.3">
      <c r="A83" s="62"/>
      <c r="B83" s="48" t="s">
        <v>17</v>
      </c>
      <c r="C83" s="48"/>
      <c r="D83" s="52"/>
      <c r="E83" s="48"/>
      <c r="F83" s="48"/>
      <c r="G83" s="52"/>
      <c r="H83" s="52"/>
      <c r="I83" s="52"/>
      <c r="J83" s="52"/>
      <c r="K83" s="52"/>
      <c r="L83" s="52"/>
      <c r="M83" s="52"/>
      <c r="N83" s="52"/>
      <c r="O83" s="52"/>
      <c r="P83" s="52"/>
      <c r="Q83" s="52">
        <f>Q81*HLOOKUP('Exh 5 Stores IS'!Q80,'Exh 10 Forecast Parameters'!$A$2:$P$17,4,0)</f>
        <v>720.12159999999994</v>
      </c>
      <c r="R83" s="52">
        <f>R81*HLOOKUP('Exh 5 Stores IS'!R80,'Exh 10 Forecast Parameters'!$A$2:$P$17,4,0)</f>
        <v>1190.0333457407999</v>
      </c>
      <c r="S83" s="52">
        <f>S81*HLOOKUP('Exh 5 Stores IS'!S80,'Exh 10 Forecast Parameters'!$A$2:$P$17,4,0)</f>
        <v>1534.9219819432178</v>
      </c>
      <c r="T83" s="52">
        <f>T81*HLOOKUP('Exh 5 Stores IS'!T80,'Exh 10 Forecast Parameters'!$A$2:$P$17,4,0)</f>
        <v>1512.6246228029804</v>
      </c>
      <c r="U83" s="52"/>
      <c r="V83" s="52"/>
      <c r="W83" s="52"/>
    </row>
    <row r="84" spans="1:24" ht="14.1" customHeight="1" x14ac:dyDescent="0.3">
      <c r="A84" s="62"/>
      <c r="B84" s="48" t="s">
        <v>15</v>
      </c>
      <c r="C84" s="48"/>
      <c r="D84" s="52"/>
      <c r="E84" s="48"/>
      <c r="F84" s="48"/>
      <c r="G84" s="52"/>
      <c r="H84" s="52"/>
      <c r="I84" s="52"/>
      <c r="J84" s="52"/>
      <c r="K84" s="52"/>
      <c r="L84" s="52"/>
      <c r="M84" s="52"/>
      <c r="N84" s="52"/>
      <c r="O84" s="52"/>
      <c r="P84" s="52"/>
      <c r="Q84" s="52">
        <f>Q81*HLOOKUP('Exh 5 Stores IS'!Q80,'Exh 10 Forecast Parameters'!$A$2:$P$17,5,0)</f>
        <v>395.50719999999995</v>
      </c>
      <c r="R84" s="52">
        <f>R81*HLOOKUP('Exh 5 Stores IS'!R80,'Exh 10 Forecast Parameters'!$A$2:$P$17,5,0)</f>
        <v>578.75938672639995</v>
      </c>
      <c r="S84" s="52">
        <f>S81*HLOOKUP('Exh 5 Stores IS'!S80,'Exh 10 Forecast Parameters'!$A$2:$P$17,5,0)</f>
        <v>727.53527467828826</v>
      </c>
      <c r="T84" s="52">
        <f>T81*HLOOKUP('Exh 5 Stores IS'!T80,'Exh 10 Forecast Parameters'!$A$2:$P$17,5,0)</f>
        <v>800.80127089569532</v>
      </c>
      <c r="U84" s="52"/>
      <c r="V84" s="52"/>
      <c r="W84" s="52"/>
    </row>
    <row r="85" spans="1:24" ht="14.1" customHeight="1" x14ac:dyDescent="0.3">
      <c r="A85" s="62"/>
      <c r="B85" s="48" t="s">
        <v>16</v>
      </c>
      <c r="C85" s="48"/>
      <c r="D85" s="52"/>
      <c r="E85" s="48"/>
      <c r="F85" s="56"/>
      <c r="G85" s="56"/>
      <c r="H85" s="56"/>
      <c r="I85" s="56"/>
      <c r="J85" s="56"/>
      <c r="K85" s="56"/>
      <c r="L85" s="56"/>
      <c r="M85" s="56"/>
      <c r="N85" s="56"/>
      <c r="O85" s="56"/>
      <c r="P85" s="56"/>
      <c r="Q85" s="56">
        <v>175.18447449521472</v>
      </c>
      <c r="R85" s="56">
        <v>175.18447449521472</v>
      </c>
      <c r="S85" s="56">
        <v>175.18447449521472</v>
      </c>
      <c r="T85" s="56">
        <v>175.18447449521472</v>
      </c>
      <c r="U85" s="56"/>
      <c r="V85" s="56"/>
    </row>
    <row r="86" spans="1:24" ht="14.1" customHeight="1" x14ac:dyDescent="0.3">
      <c r="A86" s="62"/>
      <c r="B86" s="48" t="s">
        <v>9</v>
      </c>
      <c r="C86" s="48"/>
      <c r="D86" s="52"/>
      <c r="E86" s="60"/>
      <c r="F86" s="56"/>
      <c r="G86" s="56"/>
      <c r="H86" s="56"/>
      <c r="I86" s="56"/>
      <c r="J86" s="56"/>
      <c r="K86" s="56"/>
      <c r="L86" s="56"/>
      <c r="M86" s="56"/>
      <c r="N86" s="56"/>
      <c r="O86" s="56"/>
      <c r="P86" s="56"/>
      <c r="Q86" s="57">
        <f>$D$96*(1+$D$97)^($A80-$A$73)*$C80*$D80/1000</f>
        <v>681.52319999999997</v>
      </c>
      <c r="R86" s="59">
        <f>IF(Q86=L86,L86*(1+$D$97)^6,Q86)</f>
        <v>681.52319999999997</v>
      </c>
      <c r="S86" s="59">
        <f t="shared" ref="S86" si="48">IF(R86=M86,M86*(1+$D$97)^6,R86)</f>
        <v>681.52319999999997</v>
      </c>
      <c r="T86" s="59">
        <f t="shared" ref="T86" si="49">IF(S86=N86,N86*(1+$D$97)^6,S86)</f>
        <v>681.52319999999997</v>
      </c>
      <c r="U86" s="59"/>
      <c r="V86" s="59"/>
      <c r="W86" s="59"/>
    </row>
    <row r="87" spans="1:24" ht="14.1" customHeight="1" x14ac:dyDescent="0.3">
      <c r="A87" s="78">
        <v>2015</v>
      </c>
      <c r="B87" s="53"/>
      <c r="C87" s="54">
        <v>2</v>
      </c>
      <c r="D87" s="55">
        <v>15000</v>
      </c>
      <c r="E87" s="53"/>
      <c r="F87" s="53"/>
      <c r="G87" s="53"/>
      <c r="H87" s="53"/>
      <c r="I87" s="53"/>
      <c r="J87" s="53"/>
      <c r="K87" s="53"/>
      <c r="L87" s="53"/>
      <c r="M87" s="53"/>
      <c r="N87" s="53"/>
      <c r="O87" s="53"/>
      <c r="P87" s="53"/>
      <c r="Q87" s="53"/>
      <c r="R87" s="53">
        <v>1</v>
      </c>
      <c r="S87" s="53">
        <v>2</v>
      </c>
      <c r="T87" s="53">
        <v>3</v>
      </c>
      <c r="U87" s="53"/>
      <c r="V87" s="53"/>
    </row>
    <row r="88" spans="1:24" ht="14.1" customHeight="1" x14ac:dyDescent="0.3">
      <c r="A88" s="62"/>
      <c r="B88" s="48" t="s">
        <v>0</v>
      </c>
      <c r="C88" s="48"/>
      <c r="D88" s="52"/>
      <c r="E88" s="48"/>
      <c r="F88" s="48"/>
      <c r="G88" s="48"/>
      <c r="H88" s="48"/>
      <c r="I88" s="48"/>
      <c r="J88" s="48"/>
      <c r="K88" s="48"/>
      <c r="L88" s="48"/>
      <c r="M88" s="56"/>
      <c r="N88" s="52"/>
      <c r="O88" s="52"/>
      <c r="P88" s="52"/>
      <c r="Q88" s="52"/>
      <c r="R88" s="57">
        <f>119.9*C87*D87/1000</f>
        <v>3597</v>
      </c>
      <c r="S88" s="52">
        <f>R88*(1+HLOOKUP('Exh 5 Stores IS'!S87,'Exh 10 Forecast Parameters'!$A$2:$P$17,2,0))*(1+HLOOKUP(S$2,'Exh 2 Econ Indicators'!$A$2:$S$8,7,0))</f>
        <v>6256.780068</v>
      </c>
      <c r="T88" s="52">
        <f>S88*(1+HLOOKUP('Exh 5 Stores IS'!T87,'Exh 10 Forecast Parameters'!$A$2:$P$17,2,0))*(1+HLOOKUP(T$2,'Exh 2 Econ Indicators'!$A$2:$S$8,7,0))</f>
        <v>8519.8574185956004</v>
      </c>
      <c r="U88" s="52"/>
      <c r="V88" s="52"/>
      <c r="W88" s="52"/>
      <c r="X88" s="52"/>
    </row>
    <row r="89" spans="1:24" ht="14.1" customHeight="1" x14ac:dyDescent="0.3">
      <c r="A89" s="62"/>
      <c r="B89" s="48" t="s">
        <v>1</v>
      </c>
      <c r="C89" s="48"/>
      <c r="D89" s="52"/>
      <c r="E89" s="48"/>
      <c r="F89" s="48"/>
      <c r="G89" s="48"/>
      <c r="H89" s="48"/>
      <c r="I89" s="48"/>
      <c r="J89" s="48"/>
      <c r="K89" s="48"/>
      <c r="L89" s="48"/>
      <c r="M89" s="52"/>
      <c r="N89" s="52"/>
      <c r="O89" s="52"/>
      <c r="P89" s="52"/>
      <c r="Q89" s="52"/>
      <c r="R89" s="52">
        <f>R88*HLOOKUP('Exh 5 Stores IS'!R87,'Exh 10 Forecast Parameters'!$A$2:$P$17,3,0)</f>
        <v>2550.2729999999997</v>
      </c>
      <c r="S89" s="52">
        <f>S88*HLOOKUP('Exh 5 Stores IS'!S87,'Exh 10 Forecast Parameters'!$A$2:$P$17,3,0)</f>
        <v>3985.5689033160002</v>
      </c>
      <c r="T89" s="52">
        <f>T88*HLOOKUP('Exh 5 Stores IS'!T87,'Exh 10 Forecast Parameters'!$A$2:$P$17,3,0)</f>
        <v>4788.1598692507278</v>
      </c>
      <c r="U89" s="52"/>
      <c r="V89" s="52"/>
      <c r="W89" s="52"/>
      <c r="X89" s="52"/>
    </row>
    <row r="90" spans="1:24" ht="14.1" customHeight="1" x14ac:dyDescent="0.3">
      <c r="A90" s="62"/>
      <c r="B90" s="48" t="s">
        <v>17</v>
      </c>
      <c r="C90" s="48"/>
      <c r="D90" s="52"/>
      <c r="E90" s="48"/>
      <c r="F90" s="48"/>
      <c r="G90" s="52"/>
      <c r="H90" s="52"/>
      <c r="I90" s="52"/>
      <c r="J90" s="52"/>
      <c r="K90" s="52"/>
      <c r="L90" s="52"/>
      <c r="M90" s="52"/>
      <c r="N90" s="52"/>
      <c r="O90" s="52"/>
      <c r="P90" s="52"/>
      <c r="Q90" s="52"/>
      <c r="R90" s="52">
        <f>R88*HLOOKUP('Exh 5 Stores IS'!R87,'Exh 10 Forecast Parameters'!$A$2:$P$17,4,0)</f>
        <v>694.221</v>
      </c>
      <c r="S90" s="52">
        <f>S88*HLOOKUP('Exh 5 Stores IS'!S87,'Exh 10 Forecast Parameters'!$A$2:$P$17,4,0)</f>
        <v>1144.990752444</v>
      </c>
      <c r="T90" s="52">
        <f>T88*HLOOKUP('Exh 5 Stores IS'!T87,'Exh 10 Forecast Parameters'!$A$2:$P$17,4,0)</f>
        <v>1473.9353334170387</v>
      </c>
      <c r="U90" s="52"/>
      <c r="V90" s="52"/>
      <c r="W90" s="52"/>
      <c r="X90" s="52"/>
    </row>
    <row r="91" spans="1:24" ht="14.1" customHeight="1" x14ac:dyDescent="0.3">
      <c r="A91" s="62"/>
      <c r="B91" s="48" t="s">
        <v>15</v>
      </c>
      <c r="C91" s="48"/>
      <c r="D91" s="52"/>
      <c r="E91" s="48"/>
      <c r="F91" s="48"/>
      <c r="G91" s="52"/>
      <c r="H91" s="52"/>
      <c r="I91" s="52"/>
      <c r="J91" s="52"/>
      <c r="K91" s="52"/>
      <c r="L91" s="52"/>
      <c r="M91" s="52"/>
      <c r="N91" s="52"/>
      <c r="O91" s="52"/>
      <c r="P91" s="52"/>
      <c r="Q91" s="52"/>
      <c r="R91" s="52">
        <f>R88*HLOOKUP('Exh 5 Stores IS'!R87,'Exh 10 Forecast Parameters'!$A$2:$P$17,5,0)</f>
        <v>381.28199999999998</v>
      </c>
      <c r="S91" s="52">
        <f>S88*HLOOKUP('Exh 5 Stores IS'!S87,'Exh 10 Forecast Parameters'!$A$2:$P$17,5,0)</f>
        <v>556.85342605200003</v>
      </c>
      <c r="T91" s="52">
        <f>T88*HLOOKUP('Exh 5 Stores IS'!T87,'Exh 10 Forecast Parameters'!$A$2:$P$17,5,0)</f>
        <v>698.62830832483928</v>
      </c>
      <c r="U91" s="52"/>
      <c r="V91" s="52"/>
      <c r="W91" s="52"/>
      <c r="X91" s="52"/>
    </row>
    <row r="92" spans="1:24" ht="14.1" customHeight="1" x14ac:dyDescent="0.3">
      <c r="A92" s="62"/>
      <c r="B92" s="48" t="s">
        <v>16</v>
      </c>
      <c r="C92" s="48"/>
      <c r="D92" s="52"/>
      <c r="E92" s="48"/>
      <c r="F92" s="56"/>
      <c r="G92" s="56"/>
      <c r="H92" s="56"/>
      <c r="I92" s="56"/>
      <c r="J92" s="56"/>
      <c r="K92" s="56"/>
      <c r="L92" s="56"/>
      <c r="M92" s="56"/>
      <c r="N92" s="56"/>
      <c r="O92" s="56"/>
      <c r="P92" s="56"/>
      <c r="Q92" s="56"/>
      <c r="R92" s="56">
        <v>167.42161246914551</v>
      </c>
      <c r="S92" s="56">
        <v>167.42161246914551</v>
      </c>
      <c r="T92" s="56">
        <v>167.42161246914551</v>
      </c>
      <c r="U92" s="56"/>
      <c r="V92" s="56"/>
    </row>
    <row r="93" spans="1:24" ht="14.1" customHeight="1" x14ac:dyDescent="0.3">
      <c r="A93" s="62"/>
      <c r="B93" s="48" t="s">
        <v>9</v>
      </c>
      <c r="C93" s="48"/>
      <c r="D93" s="52"/>
      <c r="E93" s="60"/>
      <c r="F93" s="56"/>
      <c r="G93" s="56"/>
      <c r="H93" s="56"/>
      <c r="I93" s="56"/>
      <c r="J93" s="56"/>
      <c r="K93" s="56"/>
      <c r="L93" s="56"/>
      <c r="M93" s="56"/>
      <c r="N93" s="56"/>
      <c r="O93" s="56"/>
      <c r="P93" s="56"/>
      <c r="Q93" s="56"/>
      <c r="R93" s="57">
        <f>$D$96*(1+$D$97)^($A87-$A$73)*$C87*$D87/1000</f>
        <v>651.70655999999997</v>
      </c>
      <c r="S93" s="59">
        <f>IF(R93=M93,M93*(1+$D$97)^6,R93)</f>
        <v>651.70655999999997</v>
      </c>
      <c r="T93" s="59">
        <f t="shared" ref="T93" si="50">IF(S93=N93,N93*(1+$D$97)^6,S93)</f>
        <v>651.70655999999997</v>
      </c>
      <c r="U93" s="59"/>
      <c r="V93" s="59"/>
      <c r="W93" s="59"/>
      <c r="X93" s="59"/>
    </row>
    <row r="94" spans="1:24" ht="14.1" customHeight="1" x14ac:dyDescent="0.3"/>
    <row r="95" spans="1:24" ht="14.1" customHeight="1" x14ac:dyDescent="0.3">
      <c r="A95" s="20" t="s">
        <v>6</v>
      </c>
    </row>
    <row r="96" spans="1:24" ht="14.1" customHeight="1" x14ac:dyDescent="0.3">
      <c r="B96" t="s">
        <v>81</v>
      </c>
      <c r="D96" s="34">
        <v>20.88</v>
      </c>
    </row>
    <row r="97" spans="2:5" ht="14.1" customHeight="1" x14ac:dyDescent="0.3">
      <c r="B97" t="s">
        <v>51</v>
      </c>
      <c r="D97" s="42">
        <v>0.02</v>
      </c>
    </row>
    <row r="98" spans="2:5" ht="14.1" customHeight="1" x14ac:dyDescent="0.3">
      <c r="D98" s="7"/>
    </row>
    <row r="99" spans="2:5" x14ac:dyDescent="0.3">
      <c r="D99" s="7"/>
    </row>
    <row r="100" spans="2:5" x14ac:dyDescent="0.3">
      <c r="D100" s="7"/>
      <c r="E100" s="7"/>
    </row>
  </sheetData>
  <pageMargins left="0.7" right="0.7" top="0.75" bottom="0.75" header="0.3" footer="0.3"/>
  <pageSetup scale="25" orientation="landscape"/>
  <ignoredErrors>
    <ignoredError sqref="K8 M8" formulaRang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W94"/>
  <sheetViews>
    <sheetView zoomScaleNormal="100" workbookViewId="0">
      <pane xSplit="4" ySplit="2" topLeftCell="E3" activePane="bottomRight" state="frozen"/>
      <selection activeCell="A9" sqref="A9"/>
      <selection pane="topRight" activeCell="A9" sqref="A9"/>
      <selection pane="bottomLeft" activeCell="A9" sqref="A9"/>
      <selection pane="bottomRight" activeCell="R15" sqref="R15"/>
    </sheetView>
  </sheetViews>
  <sheetFormatPr defaultColWidth="8.77734375" defaultRowHeight="14.4" x14ac:dyDescent="0.3"/>
  <cols>
    <col min="1" max="1" width="4.44140625" customWidth="1"/>
    <col min="2" max="2" width="12.77734375" customWidth="1"/>
    <col min="3" max="3" width="3.77734375" customWidth="1"/>
    <col min="4" max="4" width="6.77734375" customWidth="1"/>
    <col min="5" max="20" width="6.21875" customWidth="1"/>
  </cols>
  <sheetData>
    <row r="1" spans="1:20" ht="18.75" customHeight="1" x14ac:dyDescent="0.35">
      <c r="A1" s="10" t="s">
        <v>69</v>
      </c>
    </row>
    <row r="2" spans="1:20" ht="14.1" customHeight="1" x14ac:dyDescent="0.3">
      <c r="A2" s="48"/>
      <c r="B2" s="48"/>
      <c r="C2" s="62" t="s">
        <v>49</v>
      </c>
      <c r="D2" s="62" t="s">
        <v>23</v>
      </c>
      <c r="E2" s="49">
        <v>2003</v>
      </c>
      <c r="F2" s="49">
        <v>2004</v>
      </c>
      <c r="G2" s="49">
        <v>2005</v>
      </c>
      <c r="H2" s="49">
        <v>2006</v>
      </c>
      <c r="I2" s="49">
        <v>2007</v>
      </c>
      <c r="J2" s="49">
        <v>2008</v>
      </c>
      <c r="K2" s="49">
        <v>2009</v>
      </c>
      <c r="L2" s="49">
        <v>2010</v>
      </c>
      <c r="M2" s="49">
        <v>2011</v>
      </c>
      <c r="N2" s="49">
        <v>2012</v>
      </c>
      <c r="O2" s="50">
        <v>2013</v>
      </c>
      <c r="P2" s="50">
        <v>2014</v>
      </c>
      <c r="Q2" s="50">
        <v>2015</v>
      </c>
      <c r="R2" s="50">
        <v>2016</v>
      </c>
      <c r="S2" s="50">
        <v>2017</v>
      </c>
      <c r="T2" s="50">
        <v>2018</v>
      </c>
    </row>
    <row r="3" spans="1:20" s="12" customFormat="1" ht="14.1" customHeight="1" x14ac:dyDescent="0.3">
      <c r="A3" s="78">
        <v>2003</v>
      </c>
      <c r="B3" s="53"/>
      <c r="C3" s="54">
        <f>'Exh 5 Stores IS'!C3</f>
        <v>1</v>
      </c>
      <c r="D3" s="55">
        <f>'Exh 5 Stores IS'!D3</f>
        <v>17200</v>
      </c>
      <c r="E3" s="58">
        <v>0</v>
      </c>
      <c r="F3" s="58">
        <v>1</v>
      </c>
      <c r="G3" s="58">
        <v>2</v>
      </c>
      <c r="H3" s="58">
        <v>3</v>
      </c>
      <c r="I3" s="58">
        <v>4</v>
      </c>
      <c r="J3" s="58">
        <v>5</v>
      </c>
      <c r="K3" s="58">
        <v>6</v>
      </c>
      <c r="L3" s="58">
        <v>7</v>
      </c>
      <c r="M3" s="58">
        <v>8</v>
      </c>
      <c r="N3" s="58">
        <v>9</v>
      </c>
      <c r="O3" s="58">
        <v>10</v>
      </c>
      <c r="P3" s="58">
        <v>11</v>
      </c>
      <c r="Q3" s="58">
        <v>12</v>
      </c>
      <c r="R3" s="58">
        <v>13</v>
      </c>
      <c r="S3" s="58">
        <v>14</v>
      </c>
      <c r="T3" s="58">
        <v>15</v>
      </c>
    </row>
    <row r="4" spans="1:20" s="12" customFormat="1" ht="14.1" customHeight="1" x14ac:dyDescent="0.3">
      <c r="A4" s="62"/>
      <c r="B4" s="48" t="s">
        <v>77</v>
      </c>
      <c r="C4" s="48"/>
      <c r="D4" s="48"/>
      <c r="E4" s="57">
        <v>358</v>
      </c>
      <c r="F4" s="56"/>
      <c r="G4" s="52"/>
      <c r="H4" s="52"/>
      <c r="I4" s="52"/>
      <c r="J4" s="52"/>
      <c r="K4" s="52"/>
      <c r="L4" s="56"/>
      <c r="M4" s="57">
        <v>324.39999999999998</v>
      </c>
      <c r="N4" s="52"/>
      <c r="O4" s="52">
        <f>IF(MOD(O3,8)=0,G4*'Exh 10 Forecast Parameters'!$B$12*(HLOOKUP('Exh 6 Stores BS'!O$2,'Exh 2 Econ Indicators'!$A$2:$S$8,2,0)/HLOOKUP('Exh 6 Stores BS'!G$2,'Exh 2 Econ Indicators'!$A$2:$S$8,2,0)),)</f>
        <v>0</v>
      </c>
      <c r="P4" s="52">
        <f>IF(MOD(P3,8)=0,H4*'Exh 10 Forecast Parameters'!$B$12*(HLOOKUP('Exh 6 Stores BS'!P$2,'Exh 2 Econ Indicators'!$A$2:$S$8,2,0)/HLOOKUP('Exh 6 Stores BS'!H$2,'Exh 2 Econ Indicators'!$A$2:$S$8,2,0)),)</f>
        <v>0</v>
      </c>
      <c r="Q4" s="52">
        <f>IF(MOD(Q3,8)=0,I4*'Exh 10 Forecast Parameters'!$B$12*(HLOOKUP('Exh 6 Stores BS'!Q$2,'Exh 2 Econ Indicators'!$A$2:$S$8,2,0)/HLOOKUP('Exh 6 Stores BS'!I$2,'Exh 2 Econ Indicators'!$A$2:$S$8,2,0)),)</f>
        <v>0</v>
      </c>
      <c r="R4" s="52">
        <f>IF(MOD(R3,8)=0,J4*'Exh 10 Forecast Parameters'!$B$12*(HLOOKUP('Exh 6 Stores BS'!R$2,'Exh 2 Econ Indicators'!$A$2:$S$8,2,0)/HLOOKUP('Exh 6 Stores BS'!J$2,'Exh 2 Econ Indicators'!$A$2:$S$8,2,0)),)</f>
        <v>0</v>
      </c>
      <c r="S4" s="52">
        <f>IF(MOD(S3,8)=0,K4*'Exh 10 Forecast Parameters'!$B$12*(HLOOKUP('Exh 6 Stores BS'!S$2,'Exh 2 Econ Indicators'!$A$2:$S$8,2,0)/HLOOKUP('Exh 6 Stores BS'!K$2,'Exh 2 Econ Indicators'!$A$2:$S$8,2,0)),)</f>
        <v>0</v>
      </c>
      <c r="T4" s="52">
        <f>IF(MOD(T3,8)=0,L4*'Exh 10 Forecast Parameters'!$B$12*(HLOOKUP('Exh 6 Stores BS'!T$2,'Exh 2 Econ Indicators'!$A$2:$S$8,2,0)/HLOOKUP('Exh 6 Stores BS'!L$2,'Exh 2 Econ Indicators'!$A$2:$S$8,2,0)),)</f>
        <v>0</v>
      </c>
    </row>
    <row r="5" spans="1:20" s="12" customFormat="1" ht="14.1" customHeight="1" x14ac:dyDescent="0.3">
      <c r="A5" s="62"/>
      <c r="B5" s="48" t="s">
        <v>78</v>
      </c>
      <c r="C5" s="48"/>
      <c r="D5" s="48"/>
      <c r="E5" s="51"/>
      <c r="F5" s="57">
        <v>751</v>
      </c>
      <c r="G5" s="57">
        <v>1187.105</v>
      </c>
      <c r="H5" s="57">
        <v>1664.9939999999999</v>
      </c>
      <c r="I5" s="57">
        <v>1975.1420000000001</v>
      </c>
      <c r="J5" s="57">
        <v>2039.79</v>
      </c>
      <c r="K5" s="57">
        <v>1700.43</v>
      </c>
      <c r="L5" s="57">
        <v>1745.421</v>
      </c>
      <c r="M5" s="57">
        <v>1742</v>
      </c>
      <c r="N5" s="57">
        <v>1902.2380000000001</v>
      </c>
      <c r="O5" s="56"/>
      <c r="P5" s="56"/>
      <c r="Q5" s="56"/>
      <c r="R5" s="56"/>
      <c r="S5" s="56"/>
      <c r="T5" s="56"/>
    </row>
    <row r="6" spans="1:20" s="12" customFormat="1" ht="14.1" customHeight="1" x14ac:dyDescent="0.3">
      <c r="A6" s="62"/>
      <c r="B6" s="48" t="s">
        <v>11</v>
      </c>
      <c r="C6" s="48"/>
      <c r="D6" s="48"/>
      <c r="E6" s="57">
        <v>670.84199999999998</v>
      </c>
      <c r="F6" s="57">
        <v>1090.1980000000001</v>
      </c>
      <c r="G6" s="57">
        <v>1329.5309999999999</v>
      </c>
      <c r="H6" s="57">
        <v>1206.085</v>
      </c>
      <c r="I6" s="57">
        <v>1166.55</v>
      </c>
      <c r="J6" s="57">
        <v>979.73599999999999</v>
      </c>
      <c r="K6" s="57">
        <v>972.37400000000002</v>
      </c>
      <c r="L6" s="57">
        <v>1082.0060000000001</v>
      </c>
      <c r="M6" s="57">
        <v>1027.124</v>
      </c>
      <c r="N6" s="57">
        <v>1089.7059999999999</v>
      </c>
      <c r="O6" s="56"/>
      <c r="P6" s="56"/>
      <c r="Q6" s="56"/>
      <c r="R6" s="56"/>
      <c r="S6" s="56"/>
      <c r="T6" s="56"/>
    </row>
    <row r="7" spans="1:20" s="12" customFormat="1" ht="14.1" customHeight="1" x14ac:dyDescent="0.3">
      <c r="A7" s="62"/>
      <c r="B7" s="48" t="s">
        <v>79</v>
      </c>
      <c r="C7" s="48"/>
      <c r="D7" s="48"/>
      <c r="E7" s="57">
        <v>235.95500000000001</v>
      </c>
      <c r="F7" s="57">
        <v>396.22199999999998</v>
      </c>
      <c r="G7" s="57">
        <v>447.99400000000003</v>
      </c>
      <c r="H7" s="57">
        <v>405.02800000000002</v>
      </c>
      <c r="I7" s="57">
        <v>403.28300000000002</v>
      </c>
      <c r="J7" s="57">
        <v>350.45400000000001</v>
      </c>
      <c r="K7" s="57">
        <v>345.197</v>
      </c>
      <c r="L7" s="57">
        <v>370.267</v>
      </c>
      <c r="M7" s="57">
        <v>369.33699999999999</v>
      </c>
      <c r="N7" s="57">
        <v>390.017</v>
      </c>
      <c r="O7" s="56"/>
      <c r="P7" s="56"/>
      <c r="Q7" s="56"/>
      <c r="R7" s="56"/>
      <c r="S7" s="56"/>
      <c r="T7" s="56"/>
    </row>
    <row r="8" spans="1:20" s="12" customFormat="1" ht="13.5" customHeight="1" x14ac:dyDescent="0.3">
      <c r="A8" s="62"/>
      <c r="B8" s="48" t="s">
        <v>80</v>
      </c>
      <c r="C8" s="48"/>
      <c r="D8" s="48"/>
      <c r="E8" s="57">
        <v>28.963000000000001</v>
      </c>
      <c r="F8" s="57">
        <v>49.33</v>
      </c>
      <c r="G8" s="57">
        <v>61.506</v>
      </c>
      <c r="H8" s="57">
        <v>60.598999999999997</v>
      </c>
      <c r="I8" s="57">
        <v>60.835999999999999</v>
      </c>
      <c r="J8" s="57">
        <v>52.866999999999997</v>
      </c>
      <c r="K8" s="57">
        <v>53.645000000000003</v>
      </c>
      <c r="L8" s="57">
        <v>56.576000000000001</v>
      </c>
      <c r="M8" s="57">
        <v>58.371000000000002</v>
      </c>
      <c r="N8" s="57">
        <v>57.838999999999999</v>
      </c>
      <c r="O8" s="56"/>
      <c r="P8" s="56"/>
      <c r="Q8" s="56"/>
      <c r="R8" s="56"/>
      <c r="S8" s="56"/>
      <c r="T8" s="56"/>
    </row>
    <row r="9" spans="1:20" ht="14.1" customHeight="1" x14ac:dyDescent="0.3">
      <c r="A9" s="62"/>
      <c r="B9" s="48"/>
      <c r="C9" s="48"/>
      <c r="D9" s="48"/>
      <c r="E9" s="52"/>
      <c r="F9" s="52"/>
      <c r="G9" s="52"/>
      <c r="H9" s="52"/>
      <c r="I9" s="52"/>
      <c r="J9" s="52"/>
      <c r="K9" s="52"/>
      <c r="L9" s="52"/>
      <c r="M9" s="52"/>
      <c r="N9" s="52"/>
      <c r="O9" s="52"/>
      <c r="P9" s="52"/>
      <c r="Q9" s="52"/>
      <c r="R9" s="52"/>
      <c r="S9" s="52"/>
      <c r="T9" s="52"/>
    </row>
    <row r="10" spans="1:20" ht="14.1" customHeight="1" x14ac:dyDescent="0.3">
      <c r="A10" s="78">
        <v>2004</v>
      </c>
      <c r="B10" s="53"/>
      <c r="C10" s="54">
        <f>'Exh 5 Stores IS'!C10</f>
        <v>3</v>
      </c>
      <c r="D10" s="55">
        <f>'Exh 5 Stores IS'!D10</f>
        <v>17600</v>
      </c>
      <c r="E10" s="58"/>
      <c r="F10" s="58">
        <v>0</v>
      </c>
      <c r="G10" s="58">
        <v>1</v>
      </c>
      <c r="H10" s="58">
        <v>2</v>
      </c>
      <c r="I10" s="58">
        <v>3</v>
      </c>
      <c r="J10" s="58">
        <v>4</v>
      </c>
      <c r="K10" s="58">
        <v>5</v>
      </c>
      <c r="L10" s="58">
        <v>6</v>
      </c>
      <c r="M10" s="58">
        <v>7</v>
      </c>
      <c r="N10" s="58">
        <v>8</v>
      </c>
      <c r="O10" s="58">
        <v>9</v>
      </c>
      <c r="P10" s="58">
        <v>10</v>
      </c>
      <c r="Q10" s="58">
        <v>11</v>
      </c>
      <c r="R10" s="58">
        <v>12</v>
      </c>
      <c r="S10" s="58">
        <v>13</v>
      </c>
      <c r="T10" s="58">
        <v>14</v>
      </c>
    </row>
    <row r="11" spans="1:20" ht="14.1" customHeight="1" x14ac:dyDescent="0.3">
      <c r="A11" s="62"/>
      <c r="B11" s="48" t="s">
        <v>77</v>
      </c>
      <c r="C11" s="48"/>
      <c r="D11" s="48"/>
      <c r="E11" s="52"/>
      <c r="F11" s="57">
        <v>1175</v>
      </c>
      <c r="G11" s="56"/>
      <c r="H11" s="52"/>
      <c r="I11" s="52"/>
      <c r="J11" s="52"/>
      <c r="K11" s="52"/>
      <c r="L11" s="52"/>
      <c r="M11" s="56"/>
      <c r="N11" s="57">
        <v>935.6</v>
      </c>
      <c r="O11" s="52">
        <f>IF(MOD(O10,8)=0,G11*'Exh 10 Forecast Parameters'!$B$12*(HLOOKUP('Exh 6 Stores BS'!O$2,'Exh 2 Econ Indicators'!$A$2:$S$8,2,0)/HLOOKUP('Exh 6 Stores BS'!G$2,'Exh 2 Econ Indicators'!$A$2:$S$8,2,0)),)</f>
        <v>0</v>
      </c>
      <c r="P11" s="52">
        <f>IF(MOD(P10,8)=0,H11*'Exh 10 Forecast Parameters'!$B$12*(HLOOKUP('Exh 6 Stores BS'!P$2,'Exh 2 Econ Indicators'!$A$2:$S$8,2,0)/HLOOKUP('Exh 6 Stores BS'!H$2,'Exh 2 Econ Indicators'!$A$2:$S$8,2,0)),)</f>
        <v>0</v>
      </c>
      <c r="Q11" s="52">
        <f>IF(MOD(Q10,8)=0,I11*'Exh 10 Forecast Parameters'!$B$12*(HLOOKUP('Exh 6 Stores BS'!Q$2,'Exh 2 Econ Indicators'!$A$2:$S$8,2,0)/HLOOKUP('Exh 6 Stores BS'!I$2,'Exh 2 Econ Indicators'!$A$2:$S$8,2,0)),)</f>
        <v>0</v>
      </c>
      <c r="R11" s="52">
        <f>IF(MOD(R10,8)=0,J11*'Exh 10 Forecast Parameters'!$B$12*(HLOOKUP('Exh 6 Stores BS'!R$2,'Exh 2 Econ Indicators'!$A$2:$S$8,2,0)/HLOOKUP('Exh 6 Stores BS'!J$2,'Exh 2 Econ Indicators'!$A$2:$S$8,2,0)),)</f>
        <v>0</v>
      </c>
      <c r="S11" s="52">
        <f>IF(MOD(S10,8)=0,K11*'Exh 10 Forecast Parameters'!$B$12*(HLOOKUP('Exh 6 Stores BS'!S$2,'Exh 2 Econ Indicators'!$A$2:$S$8,2,0)/HLOOKUP('Exh 6 Stores BS'!K$2,'Exh 2 Econ Indicators'!$A$2:$S$8,2,0)),)</f>
        <v>0</v>
      </c>
      <c r="T11" s="52">
        <f>IF(MOD(T10,8)=0,L11*'Exh 10 Forecast Parameters'!$B$12*(HLOOKUP('Exh 6 Stores BS'!T$2,'Exh 2 Econ Indicators'!$A$2:$S$8,2,0)/HLOOKUP('Exh 6 Stores BS'!L$2,'Exh 2 Econ Indicators'!$A$2:$S$8,2,0)),)</f>
        <v>0</v>
      </c>
    </row>
    <row r="12" spans="1:20" ht="14.1" customHeight="1" x14ac:dyDescent="0.3">
      <c r="A12" s="62"/>
      <c r="B12" s="48" t="s">
        <v>78</v>
      </c>
      <c r="C12" s="48"/>
      <c r="D12" s="48"/>
      <c r="E12" s="52"/>
      <c r="F12" s="51"/>
      <c r="G12" s="57">
        <v>2291.5819999999999</v>
      </c>
      <c r="H12" s="57">
        <v>3869.6819999999998</v>
      </c>
      <c r="I12" s="57">
        <v>5029.0119999999997</v>
      </c>
      <c r="J12" s="57">
        <v>5525.78</v>
      </c>
      <c r="K12" s="57">
        <v>5276.4520000000002</v>
      </c>
      <c r="L12" s="57">
        <v>5598.9409999999998</v>
      </c>
      <c r="M12" s="57">
        <v>5611.5290000000005</v>
      </c>
      <c r="N12" s="57">
        <v>5691.3670000000002</v>
      </c>
      <c r="O12" s="56"/>
      <c r="P12" s="56"/>
      <c r="Q12" s="56"/>
      <c r="R12" s="56"/>
      <c r="S12" s="56"/>
      <c r="T12" s="56"/>
    </row>
    <row r="13" spans="1:20" ht="14.1" customHeight="1" x14ac:dyDescent="0.3">
      <c r="A13" s="62"/>
      <c r="B13" s="48" t="s">
        <v>11</v>
      </c>
      <c r="C13" s="48"/>
      <c r="D13" s="48"/>
      <c r="E13" s="52"/>
      <c r="F13" s="57">
        <v>2061.0790000000002</v>
      </c>
      <c r="G13" s="57">
        <v>3590.2260000000001</v>
      </c>
      <c r="H13" s="57">
        <v>4303.6610000000001</v>
      </c>
      <c r="I13" s="57">
        <v>3351.645</v>
      </c>
      <c r="J13" s="57">
        <v>2851.0369999999998</v>
      </c>
      <c r="K13" s="57">
        <v>3041.942</v>
      </c>
      <c r="L13" s="57">
        <v>3247.5210000000002</v>
      </c>
      <c r="M13" s="57">
        <v>3397.2089999999998</v>
      </c>
      <c r="N13" s="57">
        <v>3618.5149999999999</v>
      </c>
      <c r="O13" s="56"/>
      <c r="P13" s="56"/>
      <c r="Q13" s="56"/>
      <c r="R13" s="56"/>
      <c r="S13" s="56"/>
      <c r="T13" s="56"/>
    </row>
    <row r="14" spans="1:20" ht="14.1" customHeight="1" x14ac:dyDescent="0.3">
      <c r="A14" s="62"/>
      <c r="B14" s="48" t="s">
        <v>79</v>
      </c>
      <c r="C14" s="48"/>
      <c r="D14" s="48"/>
      <c r="E14" s="52"/>
      <c r="F14" s="57">
        <v>762.05899999999997</v>
      </c>
      <c r="G14" s="57">
        <v>1255.2550000000001</v>
      </c>
      <c r="H14" s="57">
        <v>1420.5160000000001</v>
      </c>
      <c r="I14" s="57">
        <v>1124.1690000000001</v>
      </c>
      <c r="J14" s="57">
        <v>1025.0619999999999</v>
      </c>
      <c r="K14" s="57">
        <v>1089.5260000000001</v>
      </c>
      <c r="L14" s="57">
        <v>1123.739</v>
      </c>
      <c r="M14" s="57">
        <v>1138.6310000000001</v>
      </c>
      <c r="N14" s="57">
        <v>1152.828</v>
      </c>
      <c r="O14" s="56"/>
      <c r="P14" s="56"/>
      <c r="Q14" s="56"/>
      <c r="R14" s="56"/>
      <c r="S14" s="56"/>
      <c r="T14" s="56"/>
    </row>
    <row r="15" spans="1:20" ht="14.1" customHeight="1" x14ac:dyDescent="0.3">
      <c r="A15" s="62"/>
      <c r="B15" s="48" t="s">
        <v>80</v>
      </c>
      <c r="C15" s="48"/>
      <c r="D15" s="48"/>
      <c r="E15" s="52"/>
      <c r="F15" s="57">
        <v>95.4</v>
      </c>
      <c r="G15" s="57">
        <v>157.97300000000001</v>
      </c>
      <c r="H15" s="57">
        <v>192.58799999999999</v>
      </c>
      <c r="I15" s="57">
        <v>172.91399999999999</v>
      </c>
      <c r="J15" s="57">
        <v>162.10599999999999</v>
      </c>
      <c r="K15" s="57">
        <v>162.13800000000001</v>
      </c>
      <c r="L15" s="57">
        <v>174.65799999999999</v>
      </c>
      <c r="M15" s="57">
        <v>176.57599999999999</v>
      </c>
      <c r="N15" s="57">
        <v>178.68600000000001</v>
      </c>
      <c r="O15" s="56"/>
      <c r="P15" s="56"/>
      <c r="Q15" s="56"/>
      <c r="R15" s="56"/>
      <c r="S15" s="56"/>
      <c r="T15" s="56"/>
    </row>
    <row r="16" spans="1:20" ht="14.1" customHeight="1" x14ac:dyDescent="0.3">
      <c r="A16" s="62"/>
      <c r="B16" s="48"/>
      <c r="C16" s="48"/>
      <c r="D16" s="48"/>
      <c r="E16" s="52"/>
      <c r="F16" s="52"/>
      <c r="G16" s="52"/>
      <c r="H16" s="52"/>
      <c r="I16" s="52"/>
      <c r="J16" s="52"/>
      <c r="K16" s="52"/>
      <c r="L16" s="52"/>
      <c r="M16" s="52"/>
      <c r="N16" s="52"/>
      <c r="O16" s="52"/>
      <c r="P16" s="52"/>
      <c r="Q16" s="52"/>
      <c r="R16" s="52"/>
      <c r="S16" s="52"/>
      <c r="T16" s="52"/>
    </row>
    <row r="17" spans="1:20" ht="14.1" customHeight="1" x14ac:dyDescent="0.3">
      <c r="A17" s="78">
        <v>2005</v>
      </c>
      <c r="B17" s="53"/>
      <c r="C17" s="54">
        <f>'Exh 5 Stores IS'!C17</f>
        <v>4</v>
      </c>
      <c r="D17" s="55">
        <f>'Exh 5 Stores IS'!D17</f>
        <v>18500</v>
      </c>
      <c r="E17" s="58"/>
      <c r="F17" s="58"/>
      <c r="G17" s="58">
        <v>0</v>
      </c>
      <c r="H17" s="58">
        <v>1</v>
      </c>
      <c r="I17" s="58">
        <v>2</v>
      </c>
      <c r="J17" s="58">
        <v>3</v>
      </c>
      <c r="K17" s="58">
        <v>4</v>
      </c>
      <c r="L17" s="58">
        <v>5</v>
      </c>
      <c r="M17" s="58">
        <v>6</v>
      </c>
      <c r="N17" s="58">
        <v>7</v>
      </c>
      <c r="O17" s="58">
        <v>8</v>
      </c>
      <c r="P17" s="58">
        <v>9</v>
      </c>
      <c r="Q17" s="58">
        <v>10</v>
      </c>
      <c r="R17" s="58">
        <v>11</v>
      </c>
      <c r="S17" s="58">
        <v>12</v>
      </c>
      <c r="T17" s="58">
        <v>13</v>
      </c>
    </row>
    <row r="18" spans="1:20" ht="14.1" customHeight="1" x14ac:dyDescent="0.3">
      <c r="A18" s="62"/>
      <c r="B18" s="48" t="s">
        <v>77</v>
      </c>
      <c r="C18" s="48"/>
      <c r="D18" s="48"/>
      <c r="E18" s="52"/>
      <c r="F18" s="52"/>
      <c r="G18" s="57">
        <v>1814</v>
      </c>
      <c r="H18" s="56"/>
      <c r="I18" s="52"/>
      <c r="J18" s="52"/>
      <c r="K18" s="52"/>
      <c r="L18" s="52"/>
      <c r="M18" s="52"/>
      <c r="N18" s="56"/>
      <c r="O18" s="52">
        <f>IF(MOD(O17,8)=0,G18*'Exh 10 Forecast Parameters'!$B$12*(HLOOKUP('Exh 6 Stores BS'!O$2,'Exh 2 Econ Indicators'!$A$2:$S$8,2,0)/HLOOKUP('Exh 6 Stores BS'!G$2,'Exh 2 Econ Indicators'!$A$2:$S$8,2,0)),)</f>
        <v>1506.3279739666664</v>
      </c>
      <c r="P18" s="52">
        <f>IF(MOD(P17,8)=0,H18*'Exh 10 Forecast Parameters'!$B$12*(HLOOKUP('Exh 6 Stores BS'!P$2,'Exh 2 Econ Indicators'!$A$2:$S$8,2,0)/HLOOKUP('Exh 6 Stores BS'!H$2,'Exh 2 Econ Indicators'!$A$2:$S$8,2,0)),)</f>
        <v>0</v>
      </c>
      <c r="Q18" s="52">
        <f>IF(MOD(Q17,8)=0,I18*'Exh 10 Forecast Parameters'!$B$12*(HLOOKUP('Exh 6 Stores BS'!Q$2,'Exh 2 Econ Indicators'!$A$2:$S$8,2,0)/HLOOKUP('Exh 6 Stores BS'!I$2,'Exh 2 Econ Indicators'!$A$2:$S$8,2,0)),)</f>
        <v>0</v>
      </c>
      <c r="R18" s="52">
        <f>IF(MOD(R17,8)=0,J18*'Exh 10 Forecast Parameters'!$B$12*(HLOOKUP('Exh 6 Stores BS'!R$2,'Exh 2 Econ Indicators'!$A$2:$S$8,2,0)/HLOOKUP('Exh 6 Stores BS'!J$2,'Exh 2 Econ Indicators'!$A$2:$S$8,2,0)),)</f>
        <v>0</v>
      </c>
      <c r="S18" s="52">
        <f>IF(MOD(S17,8)=0,K18*'Exh 10 Forecast Parameters'!$B$12*(HLOOKUP('Exh 6 Stores BS'!S$2,'Exh 2 Econ Indicators'!$A$2:$S$8,2,0)/HLOOKUP('Exh 6 Stores BS'!K$2,'Exh 2 Econ Indicators'!$A$2:$S$8,2,0)),)</f>
        <v>0</v>
      </c>
      <c r="T18" s="52">
        <f>IF(MOD(T17,8)=0,L18*'Exh 10 Forecast Parameters'!$B$12*(HLOOKUP('Exh 6 Stores BS'!T$2,'Exh 2 Econ Indicators'!$A$2:$S$8,2,0)/HLOOKUP('Exh 6 Stores BS'!L$2,'Exh 2 Econ Indicators'!$A$2:$S$8,2,0)),)</f>
        <v>0</v>
      </c>
    </row>
    <row r="19" spans="1:20" ht="14.1" customHeight="1" x14ac:dyDescent="0.3">
      <c r="A19" s="62"/>
      <c r="B19" s="48" t="s">
        <v>78</v>
      </c>
      <c r="C19" s="48"/>
      <c r="D19" s="48"/>
      <c r="E19" s="52"/>
      <c r="F19" s="52"/>
      <c r="G19" s="51"/>
      <c r="H19" s="57">
        <v>3140.2570000000001</v>
      </c>
      <c r="I19" s="57">
        <v>5508.3360000000002</v>
      </c>
      <c r="J19" s="57">
        <v>6296.3710000000001</v>
      </c>
      <c r="K19" s="57">
        <v>6230.7650000000003</v>
      </c>
      <c r="L19" s="57">
        <v>7149.28</v>
      </c>
      <c r="M19" s="57">
        <v>7750.8029999999999</v>
      </c>
      <c r="N19" s="57">
        <v>7949.6329999999998</v>
      </c>
      <c r="O19" s="56"/>
      <c r="P19" s="56"/>
      <c r="Q19" s="56"/>
      <c r="R19" s="56"/>
      <c r="S19" s="56"/>
      <c r="T19" s="56"/>
    </row>
    <row r="20" spans="1:20" ht="14.1" customHeight="1" x14ac:dyDescent="0.3">
      <c r="A20" s="62"/>
      <c r="B20" s="48" t="s">
        <v>11</v>
      </c>
      <c r="C20" s="48"/>
      <c r="D20" s="48"/>
      <c r="E20" s="52"/>
      <c r="F20" s="52"/>
      <c r="G20" s="57">
        <v>3296.1869999999999</v>
      </c>
      <c r="H20" s="57">
        <v>5271.0140000000001</v>
      </c>
      <c r="I20" s="57">
        <v>4639.7280000000001</v>
      </c>
      <c r="J20" s="57">
        <v>3974.873</v>
      </c>
      <c r="K20" s="57">
        <v>4074.8240000000001</v>
      </c>
      <c r="L20" s="57">
        <v>4427.2529999999997</v>
      </c>
      <c r="M20" s="57">
        <v>4353.7389999999996</v>
      </c>
      <c r="N20" s="57">
        <v>5114.402</v>
      </c>
      <c r="O20" s="56"/>
      <c r="P20" s="56"/>
      <c r="Q20" s="56"/>
      <c r="R20" s="56"/>
      <c r="S20" s="56"/>
      <c r="T20" s="56"/>
    </row>
    <row r="21" spans="1:20" ht="14.1" customHeight="1" x14ac:dyDescent="0.3">
      <c r="A21" s="62"/>
      <c r="B21" s="48" t="s">
        <v>79</v>
      </c>
      <c r="C21" s="48"/>
      <c r="D21" s="48"/>
      <c r="E21" s="52"/>
      <c r="F21" s="52"/>
      <c r="G21" s="57">
        <v>1077.78</v>
      </c>
      <c r="H21" s="57">
        <v>1760.211</v>
      </c>
      <c r="I21" s="57">
        <v>1742.171</v>
      </c>
      <c r="J21" s="57">
        <v>1380.749</v>
      </c>
      <c r="K21" s="57">
        <v>1522.8389999999999</v>
      </c>
      <c r="L21" s="57">
        <v>1571.681</v>
      </c>
      <c r="M21" s="57">
        <v>1564.6659999999999</v>
      </c>
      <c r="N21" s="57">
        <v>1631.3389999999999</v>
      </c>
      <c r="O21" s="56"/>
      <c r="P21" s="56"/>
      <c r="Q21" s="56"/>
      <c r="R21" s="56"/>
      <c r="S21" s="56"/>
      <c r="T21" s="56"/>
    </row>
    <row r="22" spans="1:20" ht="14.1" customHeight="1" x14ac:dyDescent="0.3">
      <c r="A22" s="62"/>
      <c r="B22" s="48" t="s">
        <v>80</v>
      </c>
      <c r="C22" s="48"/>
      <c r="D22" s="48"/>
      <c r="E22" s="52"/>
      <c r="F22" s="52"/>
      <c r="G22" s="57">
        <v>138.09100000000001</v>
      </c>
      <c r="H22" s="57">
        <v>211.874</v>
      </c>
      <c r="I22" s="57">
        <v>239.86500000000001</v>
      </c>
      <c r="J22" s="57">
        <v>203.387</v>
      </c>
      <c r="K22" s="57">
        <v>240.36799999999999</v>
      </c>
      <c r="L22" s="57">
        <v>243.851</v>
      </c>
      <c r="M22" s="57">
        <v>250.83199999999999</v>
      </c>
      <c r="N22" s="57">
        <v>258.68</v>
      </c>
      <c r="O22" s="56"/>
      <c r="P22" s="56"/>
      <c r="Q22" s="56"/>
      <c r="R22" s="56"/>
      <c r="S22" s="56"/>
      <c r="T22" s="56"/>
    </row>
    <row r="23" spans="1:20" ht="14.1" customHeight="1" x14ac:dyDescent="0.3">
      <c r="A23" s="62"/>
      <c r="B23" s="48"/>
      <c r="C23" s="48"/>
      <c r="D23" s="48"/>
      <c r="E23" s="52"/>
      <c r="F23" s="52"/>
      <c r="G23" s="52"/>
      <c r="H23" s="52"/>
      <c r="I23" s="52"/>
      <c r="J23" s="52"/>
      <c r="K23" s="52"/>
      <c r="L23" s="52"/>
      <c r="M23" s="52"/>
      <c r="N23" s="52"/>
      <c r="O23" s="52"/>
      <c r="P23" s="52"/>
      <c r="Q23" s="52"/>
      <c r="R23" s="52"/>
      <c r="S23" s="52"/>
      <c r="T23" s="52"/>
    </row>
    <row r="24" spans="1:20" ht="14.1" customHeight="1" x14ac:dyDescent="0.3">
      <c r="A24" s="78">
        <v>2006</v>
      </c>
      <c r="B24" s="53"/>
      <c r="C24" s="54">
        <f>'Exh 5 Stores IS'!C24</f>
        <v>5</v>
      </c>
      <c r="D24" s="55">
        <f>'Exh 5 Stores IS'!D24</f>
        <v>21100</v>
      </c>
      <c r="E24" s="58"/>
      <c r="F24" s="58"/>
      <c r="G24" s="58"/>
      <c r="H24" s="58">
        <v>0</v>
      </c>
      <c r="I24" s="58">
        <v>1</v>
      </c>
      <c r="J24" s="58">
        <v>2</v>
      </c>
      <c r="K24" s="58">
        <v>3</v>
      </c>
      <c r="L24" s="58">
        <v>4</v>
      </c>
      <c r="M24" s="58">
        <v>5</v>
      </c>
      <c r="N24" s="58">
        <v>6</v>
      </c>
      <c r="O24" s="58">
        <v>7</v>
      </c>
      <c r="P24" s="58">
        <v>8</v>
      </c>
      <c r="Q24" s="58">
        <v>9</v>
      </c>
      <c r="R24" s="58">
        <v>10</v>
      </c>
      <c r="S24" s="58">
        <v>11</v>
      </c>
      <c r="T24" s="58">
        <v>12</v>
      </c>
    </row>
    <row r="25" spans="1:20" ht="14.1" customHeight="1" x14ac:dyDescent="0.3">
      <c r="A25" s="62"/>
      <c r="B25" s="48" t="s">
        <v>77</v>
      </c>
      <c r="C25" s="48"/>
      <c r="D25" s="48"/>
      <c r="E25" s="52"/>
      <c r="F25" s="52"/>
      <c r="G25" s="52"/>
      <c r="H25" s="57">
        <v>2971</v>
      </c>
      <c r="I25" s="56"/>
      <c r="J25" s="52"/>
      <c r="K25" s="52"/>
      <c r="L25" s="52"/>
      <c r="M25" s="52"/>
      <c r="N25" s="52"/>
      <c r="O25" s="52">
        <f>IF(MOD(O24,8)=0,G25*'Exh 10 Forecast Parameters'!$B$12*(HLOOKUP('Exh 6 Stores BS'!O$2,'Exh 2 Econ Indicators'!$A$2:$S$8,2,0)/HLOOKUP('Exh 6 Stores BS'!G$2,'Exh 2 Econ Indicators'!$A$2:$S$8,2,0)),)</f>
        <v>0</v>
      </c>
      <c r="P25" s="52">
        <f>IF(MOD(P24,8)=0,H25*'Exh 10 Forecast Parameters'!$B$12*(HLOOKUP('Exh 6 Stores BS'!P$2,'Exh 2 Econ Indicators'!$A$2:$S$8,2,0)/HLOOKUP('Exh 6 Stores BS'!H$2,'Exh 2 Econ Indicators'!$A$2:$S$8,2,0)),)</f>
        <v>2449.5103574545819</v>
      </c>
      <c r="Q25" s="52">
        <f>IF(MOD(Q24,8)=0,I25*'Exh 10 Forecast Parameters'!$B$12*(HLOOKUP('Exh 6 Stores BS'!Q$2,'Exh 2 Econ Indicators'!$A$2:$S$8,2,0)/HLOOKUP('Exh 6 Stores BS'!I$2,'Exh 2 Econ Indicators'!$A$2:$S$8,2,0)),)</f>
        <v>0</v>
      </c>
      <c r="R25" s="52">
        <f>IF(MOD(R24,8)=0,J25*'Exh 10 Forecast Parameters'!$B$12*(HLOOKUP('Exh 6 Stores BS'!R$2,'Exh 2 Econ Indicators'!$A$2:$S$8,2,0)/HLOOKUP('Exh 6 Stores BS'!J$2,'Exh 2 Econ Indicators'!$A$2:$S$8,2,0)),)</f>
        <v>0</v>
      </c>
      <c r="S25" s="52">
        <f>IF(MOD(S24,8)=0,K25*'Exh 10 Forecast Parameters'!$B$12*(HLOOKUP('Exh 6 Stores BS'!S$2,'Exh 2 Econ Indicators'!$A$2:$S$8,2,0)/HLOOKUP('Exh 6 Stores BS'!K$2,'Exh 2 Econ Indicators'!$A$2:$S$8,2,0)),)</f>
        <v>0</v>
      </c>
      <c r="T25" s="52">
        <f>IF(MOD(T24,8)=0,L25*'Exh 10 Forecast Parameters'!$B$12*(HLOOKUP('Exh 6 Stores BS'!T$2,'Exh 2 Econ Indicators'!$A$2:$S$8,2,0)/HLOOKUP('Exh 6 Stores BS'!L$2,'Exh 2 Econ Indicators'!$A$2:$S$8,2,0)),)</f>
        <v>0</v>
      </c>
    </row>
    <row r="26" spans="1:20" ht="14.1" customHeight="1" x14ac:dyDescent="0.3">
      <c r="A26" s="62"/>
      <c r="B26" s="48" t="s">
        <v>78</v>
      </c>
      <c r="C26" s="48"/>
      <c r="D26" s="48"/>
      <c r="E26" s="52"/>
      <c r="F26" s="52"/>
      <c r="G26" s="52"/>
      <c r="H26" s="51"/>
      <c r="I26" s="57">
        <v>4433.2020000000002</v>
      </c>
      <c r="J26" s="57">
        <v>6592.625</v>
      </c>
      <c r="K26" s="57">
        <v>7974.1279999999997</v>
      </c>
      <c r="L26" s="57">
        <v>10039.839</v>
      </c>
      <c r="M26" s="57">
        <v>10907.93</v>
      </c>
      <c r="N26" s="57">
        <v>11761.444</v>
      </c>
      <c r="O26" s="56"/>
      <c r="P26" s="56"/>
      <c r="Q26" s="56"/>
      <c r="R26" s="56"/>
      <c r="S26" s="56"/>
      <c r="T26" s="56"/>
    </row>
    <row r="27" spans="1:20" ht="14.1" customHeight="1" x14ac:dyDescent="0.3">
      <c r="A27" s="62"/>
      <c r="B27" s="48" t="s">
        <v>11</v>
      </c>
      <c r="C27" s="48"/>
      <c r="D27" s="48"/>
      <c r="E27" s="52"/>
      <c r="F27" s="52"/>
      <c r="G27" s="52"/>
      <c r="H27" s="57">
        <v>4344.0209999999997</v>
      </c>
      <c r="I27" s="57">
        <v>6517.7889999999998</v>
      </c>
      <c r="J27" s="57">
        <v>6634.6310000000003</v>
      </c>
      <c r="K27" s="57">
        <v>5869.9539999999997</v>
      </c>
      <c r="L27" s="57">
        <v>6688.9409999999998</v>
      </c>
      <c r="M27" s="57">
        <v>6854.1009999999997</v>
      </c>
      <c r="N27" s="57">
        <v>6348.39</v>
      </c>
      <c r="O27" s="56"/>
      <c r="P27" s="56"/>
      <c r="Q27" s="56"/>
      <c r="R27" s="56"/>
      <c r="S27" s="56"/>
      <c r="T27" s="56"/>
    </row>
    <row r="28" spans="1:20" ht="14.1" customHeight="1" x14ac:dyDescent="0.3">
      <c r="A28" s="62"/>
      <c r="B28" s="48" t="s">
        <v>79</v>
      </c>
      <c r="C28" s="48"/>
      <c r="D28" s="48"/>
      <c r="E28" s="52"/>
      <c r="F28" s="52"/>
      <c r="G28" s="52"/>
      <c r="H28" s="57">
        <v>1533.481</v>
      </c>
      <c r="I28" s="57">
        <v>2226.7779999999998</v>
      </c>
      <c r="J28" s="57">
        <v>2181.1930000000002</v>
      </c>
      <c r="K28" s="57">
        <v>1889.471</v>
      </c>
      <c r="L28" s="57">
        <v>2165.2440000000001</v>
      </c>
      <c r="M28" s="57">
        <v>2325.0279999999998</v>
      </c>
      <c r="N28" s="57">
        <v>2376.7049999999999</v>
      </c>
      <c r="O28" s="56"/>
      <c r="P28" s="56"/>
      <c r="Q28" s="56"/>
      <c r="R28" s="56"/>
      <c r="S28" s="56"/>
      <c r="T28" s="56"/>
    </row>
    <row r="29" spans="1:20" ht="14.1" customHeight="1" x14ac:dyDescent="0.3">
      <c r="A29" s="62"/>
      <c r="B29" s="48" t="s">
        <v>80</v>
      </c>
      <c r="C29" s="48"/>
      <c r="D29" s="48"/>
      <c r="E29" s="52"/>
      <c r="F29" s="52"/>
      <c r="G29" s="52"/>
      <c r="H29" s="57">
        <v>192.86</v>
      </c>
      <c r="I29" s="57">
        <v>271.56799999999998</v>
      </c>
      <c r="J29" s="57">
        <v>299.90100000000001</v>
      </c>
      <c r="K29" s="57">
        <v>291.48200000000003</v>
      </c>
      <c r="L29" s="57">
        <v>336.75400000000002</v>
      </c>
      <c r="M29" s="57">
        <v>342.51499999999999</v>
      </c>
      <c r="N29" s="57">
        <v>361.54399999999998</v>
      </c>
      <c r="O29" s="56"/>
      <c r="P29" s="56"/>
      <c r="Q29" s="56"/>
      <c r="R29" s="56"/>
      <c r="S29" s="56"/>
      <c r="T29" s="56"/>
    </row>
    <row r="30" spans="1:20" ht="14.1" customHeight="1" x14ac:dyDescent="0.3">
      <c r="A30" s="62"/>
      <c r="B30" s="48"/>
      <c r="C30" s="48"/>
      <c r="D30" s="48"/>
      <c r="E30" s="52"/>
      <c r="F30" s="52"/>
      <c r="G30" s="52"/>
      <c r="H30" s="52"/>
      <c r="I30" s="52"/>
      <c r="J30" s="52"/>
      <c r="K30" s="52"/>
      <c r="L30" s="52"/>
      <c r="M30" s="52"/>
      <c r="N30" s="52"/>
      <c r="O30" s="52"/>
      <c r="P30" s="52"/>
      <c r="Q30" s="52"/>
      <c r="R30" s="52"/>
      <c r="S30" s="52"/>
      <c r="T30" s="52"/>
    </row>
    <row r="31" spans="1:20" ht="14.1" customHeight="1" x14ac:dyDescent="0.3">
      <c r="A31" s="78">
        <v>2007</v>
      </c>
      <c r="B31" s="53"/>
      <c r="C31" s="54">
        <f>'Exh 5 Stores IS'!C31</f>
        <v>6</v>
      </c>
      <c r="D31" s="55">
        <f>'Exh 5 Stores IS'!D31</f>
        <v>22100</v>
      </c>
      <c r="E31" s="58"/>
      <c r="F31" s="58"/>
      <c r="G31" s="58"/>
      <c r="H31" s="58"/>
      <c r="I31" s="58">
        <v>0</v>
      </c>
      <c r="J31" s="58">
        <v>1</v>
      </c>
      <c r="K31" s="58">
        <v>2</v>
      </c>
      <c r="L31" s="58">
        <v>3</v>
      </c>
      <c r="M31" s="58">
        <v>4</v>
      </c>
      <c r="N31" s="58">
        <v>5</v>
      </c>
      <c r="O31" s="58">
        <v>6</v>
      </c>
      <c r="P31" s="58">
        <v>7</v>
      </c>
      <c r="Q31" s="58">
        <v>8</v>
      </c>
      <c r="R31" s="58">
        <v>9</v>
      </c>
      <c r="S31" s="58">
        <v>10</v>
      </c>
      <c r="T31" s="58">
        <v>11</v>
      </c>
    </row>
    <row r="32" spans="1:20" ht="14.1" customHeight="1" x14ac:dyDescent="0.3">
      <c r="A32" s="62"/>
      <c r="B32" s="48" t="s">
        <v>77</v>
      </c>
      <c r="C32" s="48"/>
      <c r="D32" s="48"/>
      <c r="E32" s="52"/>
      <c r="F32" s="52"/>
      <c r="G32" s="52"/>
      <c r="H32" s="52"/>
      <c r="I32" s="57">
        <v>4058</v>
      </c>
      <c r="J32" s="56"/>
      <c r="K32" s="52"/>
      <c r="L32" s="52"/>
      <c r="M32" s="52"/>
      <c r="N32" s="52"/>
      <c r="O32" s="52">
        <f>IF(MOD(O31,8)=0,G32*'Exh 10 Forecast Parameters'!$B$12*(HLOOKUP('Exh 6 Stores BS'!O$2,'Exh 2 Econ Indicators'!$A$2:$S$8,2,0)/HLOOKUP('Exh 6 Stores BS'!G$2,'Exh 2 Econ Indicators'!$A$2:$S$8,2,0)),)</f>
        <v>0</v>
      </c>
      <c r="P32" s="52">
        <f>IF(MOD(P31,8)=0,H32*'Exh 10 Forecast Parameters'!$B$12*(HLOOKUP('Exh 6 Stores BS'!P$2,'Exh 2 Econ Indicators'!$A$2:$S$8,2,0)/HLOOKUP('Exh 6 Stores BS'!H$2,'Exh 2 Econ Indicators'!$A$2:$S$8,2,0)),)</f>
        <v>0</v>
      </c>
      <c r="Q32" s="52">
        <f>IF(MOD(Q31,8)=0,I32*'Exh 10 Forecast Parameters'!$B$12*(HLOOKUP('Exh 6 Stores BS'!Q$2,'Exh 2 Econ Indicators'!$A$2:$S$8,2,0)/HLOOKUP('Exh 6 Stores BS'!I$2,'Exh 2 Econ Indicators'!$A$2:$S$8,2,0)),)</f>
        <v>3276.8814007526644</v>
      </c>
      <c r="R32" s="52">
        <f>IF(MOD(R31,8)=0,J32*'Exh 10 Forecast Parameters'!$B$12*(HLOOKUP('Exh 6 Stores BS'!R$2,'Exh 2 Econ Indicators'!$A$2:$S$8,2,0)/HLOOKUP('Exh 6 Stores BS'!J$2,'Exh 2 Econ Indicators'!$A$2:$S$8,2,0)),)</f>
        <v>0</v>
      </c>
      <c r="S32" s="52">
        <f>IF(MOD(S31,8)=0,K32*'Exh 10 Forecast Parameters'!$B$12*(HLOOKUP('Exh 6 Stores BS'!S$2,'Exh 2 Econ Indicators'!$A$2:$S$8,2,0)/HLOOKUP('Exh 6 Stores BS'!K$2,'Exh 2 Econ Indicators'!$A$2:$S$8,2,0)),)</f>
        <v>0</v>
      </c>
      <c r="T32" s="52">
        <f>IF(MOD(T31,8)=0,L32*'Exh 10 Forecast Parameters'!$B$12*(HLOOKUP('Exh 6 Stores BS'!T$2,'Exh 2 Econ Indicators'!$A$2:$S$8,2,0)/HLOOKUP('Exh 6 Stores BS'!L$2,'Exh 2 Econ Indicators'!$A$2:$S$8,2,0)),)</f>
        <v>0</v>
      </c>
    </row>
    <row r="33" spans="1:20" ht="14.1" customHeight="1" x14ac:dyDescent="0.3">
      <c r="A33" s="62"/>
      <c r="B33" s="48" t="s">
        <v>78</v>
      </c>
      <c r="C33" s="48"/>
      <c r="D33" s="48"/>
      <c r="E33" s="52"/>
      <c r="F33" s="52"/>
      <c r="G33" s="52"/>
      <c r="H33" s="52"/>
      <c r="I33" s="51"/>
      <c r="J33" s="57">
        <v>4817.3819999999996</v>
      </c>
      <c r="K33" s="57">
        <v>6829.1229999999996</v>
      </c>
      <c r="L33" s="57">
        <v>9849.4840000000004</v>
      </c>
      <c r="M33" s="57">
        <v>12400.458000000001</v>
      </c>
      <c r="N33" s="57">
        <v>13919.558999999999</v>
      </c>
      <c r="O33" s="56"/>
      <c r="P33" s="56"/>
      <c r="Q33" s="56"/>
      <c r="R33" s="56"/>
      <c r="S33" s="56"/>
      <c r="T33" s="56"/>
    </row>
    <row r="34" spans="1:20" ht="14.1" customHeight="1" x14ac:dyDescent="0.3">
      <c r="A34" s="62"/>
      <c r="B34" s="48" t="s">
        <v>11</v>
      </c>
      <c r="C34" s="48"/>
      <c r="D34" s="48"/>
      <c r="E34" s="52"/>
      <c r="F34" s="52"/>
      <c r="G34" s="52"/>
      <c r="H34" s="52"/>
      <c r="I34" s="57">
        <v>5232.049</v>
      </c>
      <c r="J34" s="57">
        <v>6245.9849999999997</v>
      </c>
      <c r="K34" s="57">
        <v>8709.6170000000002</v>
      </c>
      <c r="L34" s="57">
        <v>7320.2460000000001</v>
      </c>
      <c r="M34" s="57">
        <v>8121.2049999999999</v>
      </c>
      <c r="N34" s="57">
        <v>9022.1980000000003</v>
      </c>
      <c r="O34" s="56"/>
      <c r="P34" s="56"/>
      <c r="Q34" s="56"/>
      <c r="R34" s="56"/>
      <c r="S34" s="56"/>
      <c r="T34" s="56"/>
    </row>
    <row r="35" spans="1:20" ht="14.1" customHeight="1" x14ac:dyDescent="0.3">
      <c r="A35" s="62"/>
      <c r="B35" s="48" t="s">
        <v>79</v>
      </c>
      <c r="C35" s="48"/>
      <c r="D35" s="48"/>
      <c r="E35" s="52"/>
      <c r="F35" s="52"/>
      <c r="G35" s="52"/>
      <c r="H35" s="52"/>
      <c r="I35" s="57">
        <v>1731.6420000000001</v>
      </c>
      <c r="J35" s="57">
        <v>2480.3679999999999</v>
      </c>
      <c r="K35" s="57">
        <v>2711.8919999999998</v>
      </c>
      <c r="L35" s="57">
        <v>2631.0819999999999</v>
      </c>
      <c r="M35" s="57">
        <v>2711.99</v>
      </c>
      <c r="N35" s="57">
        <v>2919.0030000000002</v>
      </c>
      <c r="O35" s="56"/>
      <c r="P35" s="56"/>
      <c r="Q35" s="56"/>
      <c r="R35" s="56"/>
      <c r="S35" s="56"/>
      <c r="T35" s="56"/>
    </row>
    <row r="36" spans="1:20" ht="14.1" customHeight="1" x14ac:dyDescent="0.3">
      <c r="A36" s="62"/>
      <c r="B36" s="48" t="s">
        <v>80</v>
      </c>
      <c r="C36" s="48"/>
      <c r="D36" s="48"/>
      <c r="E36" s="52"/>
      <c r="F36" s="52"/>
      <c r="G36" s="52"/>
      <c r="H36" s="52"/>
      <c r="I36" s="57">
        <v>213.059</v>
      </c>
      <c r="J36" s="57">
        <v>293.40899999999999</v>
      </c>
      <c r="K36" s="57">
        <v>362.30200000000002</v>
      </c>
      <c r="L36" s="57">
        <v>380.89</v>
      </c>
      <c r="M36" s="57">
        <v>435.529</v>
      </c>
      <c r="N36" s="57">
        <v>435.262</v>
      </c>
      <c r="O36" s="56"/>
      <c r="P36" s="56"/>
      <c r="Q36" s="56"/>
      <c r="R36" s="56"/>
      <c r="S36" s="56"/>
      <c r="T36" s="56"/>
    </row>
    <row r="37" spans="1:20" ht="14.1" customHeight="1" x14ac:dyDescent="0.3">
      <c r="A37" s="62"/>
      <c r="B37" s="48"/>
      <c r="C37" s="48"/>
      <c r="D37" s="48"/>
      <c r="E37" s="52"/>
      <c r="F37" s="52"/>
      <c r="G37" s="52"/>
      <c r="H37" s="52"/>
      <c r="I37" s="52"/>
      <c r="J37" s="52"/>
      <c r="K37" s="52"/>
      <c r="L37" s="52"/>
      <c r="M37" s="52"/>
      <c r="N37" s="52"/>
      <c r="O37" s="52"/>
      <c r="P37" s="52"/>
      <c r="Q37" s="52"/>
      <c r="R37" s="52"/>
      <c r="S37" s="52"/>
      <c r="T37" s="52"/>
    </row>
    <row r="38" spans="1:20" ht="14.1" customHeight="1" x14ac:dyDescent="0.3">
      <c r="A38" s="78">
        <v>2008</v>
      </c>
      <c r="B38" s="53"/>
      <c r="C38" s="54">
        <f>'Exh 5 Stores IS'!C38</f>
        <v>2</v>
      </c>
      <c r="D38" s="55">
        <f>'Exh 5 Stores IS'!D38</f>
        <v>15500</v>
      </c>
      <c r="E38" s="58"/>
      <c r="F38" s="58"/>
      <c r="G38" s="58"/>
      <c r="H38" s="58"/>
      <c r="I38" s="58"/>
      <c r="J38" s="58">
        <v>0</v>
      </c>
      <c r="K38" s="58">
        <v>1</v>
      </c>
      <c r="L38" s="58">
        <v>2</v>
      </c>
      <c r="M38" s="58">
        <v>3</v>
      </c>
      <c r="N38" s="58">
        <v>4</v>
      </c>
      <c r="O38" s="58">
        <v>5</v>
      </c>
      <c r="P38" s="58">
        <v>6</v>
      </c>
      <c r="Q38" s="58">
        <v>7</v>
      </c>
      <c r="R38" s="58">
        <v>8</v>
      </c>
      <c r="S38" s="58">
        <v>9</v>
      </c>
      <c r="T38" s="58">
        <v>10</v>
      </c>
    </row>
    <row r="39" spans="1:20" ht="14.1" customHeight="1" x14ac:dyDescent="0.3">
      <c r="A39" s="62"/>
      <c r="B39" s="48" t="s">
        <v>77</v>
      </c>
      <c r="C39" s="48"/>
      <c r="D39" s="48"/>
      <c r="E39" s="52"/>
      <c r="F39" s="52"/>
      <c r="G39" s="52"/>
      <c r="H39" s="52"/>
      <c r="I39" s="52"/>
      <c r="J39" s="57">
        <v>924</v>
      </c>
      <c r="K39" s="56"/>
      <c r="L39" s="52"/>
      <c r="M39" s="52"/>
      <c r="N39" s="52"/>
      <c r="O39" s="52">
        <f>IF(MOD(O38,8)=0,G39*'Exh 10 Forecast Parameters'!$B$12*(HLOOKUP('Exh 6 Stores BS'!O$2,'Exh 2 Econ Indicators'!$A$2:$S$8,2,0)/HLOOKUP('Exh 6 Stores BS'!G$2,'Exh 2 Econ Indicators'!$A$2:$S$8,2,0)),)</f>
        <v>0</v>
      </c>
      <c r="P39" s="52">
        <f>IF(MOD(P38,8)=0,H39*'Exh 10 Forecast Parameters'!$B$12*(HLOOKUP('Exh 6 Stores BS'!P$2,'Exh 2 Econ Indicators'!$A$2:$S$8,2,0)/HLOOKUP('Exh 6 Stores BS'!H$2,'Exh 2 Econ Indicators'!$A$2:$S$8,2,0)),)</f>
        <v>0</v>
      </c>
      <c r="Q39" s="52">
        <f>IF(MOD(Q38,8)=0,I39*'Exh 10 Forecast Parameters'!$B$12*(HLOOKUP('Exh 6 Stores BS'!Q$2,'Exh 2 Econ Indicators'!$A$2:$S$8,2,0)/HLOOKUP('Exh 6 Stores BS'!I$2,'Exh 2 Econ Indicators'!$A$2:$S$8,2,0)),)</f>
        <v>0</v>
      </c>
      <c r="R39" s="52">
        <f>IF(MOD(R38,8)=0,J39*'Exh 10 Forecast Parameters'!$B$12*(HLOOKUP('Exh 6 Stores BS'!R$2,'Exh 2 Econ Indicators'!$A$2:$S$8,2,0)/HLOOKUP('Exh 6 Stores BS'!J$2,'Exh 2 Econ Indicators'!$A$2:$S$8,2,0)),)</f>
        <v>761.18830699454747</v>
      </c>
      <c r="S39" s="52">
        <f>IF(MOD(S38,8)=0,K39*'Exh 10 Forecast Parameters'!$B$12*(HLOOKUP('Exh 6 Stores BS'!S$2,'Exh 2 Econ Indicators'!$A$2:$S$8,2,0)/HLOOKUP('Exh 6 Stores BS'!K$2,'Exh 2 Econ Indicators'!$A$2:$S$8,2,0)),)</f>
        <v>0</v>
      </c>
      <c r="T39" s="52">
        <f>IF(MOD(T38,8)=0,L39*'Exh 10 Forecast Parameters'!$B$12*(HLOOKUP('Exh 6 Stores BS'!T$2,'Exh 2 Econ Indicators'!$A$2:$S$8,2,0)/HLOOKUP('Exh 6 Stores BS'!L$2,'Exh 2 Econ Indicators'!$A$2:$S$8,2,0)),)</f>
        <v>0</v>
      </c>
    </row>
    <row r="40" spans="1:20" ht="14.1" customHeight="1" x14ac:dyDescent="0.3">
      <c r="A40" s="62"/>
      <c r="B40" s="48" t="s">
        <v>78</v>
      </c>
      <c r="C40" s="48"/>
      <c r="D40" s="48"/>
      <c r="E40" s="52"/>
      <c r="F40" s="52"/>
      <c r="G40" s="52"/>
      <c r="H40" s="52"/>
      <c r="I40" s="52"/>
      <c r="J40" s="51"/>
      <c r="K40" s="57">
        <v>1048.2439999999999</v>
      </c>
      <c r="L40" s="57">
        <v>1758.057</v>
      </c>
      <c r="M40" s="57">
        <v>2212.29</v>
      </c>
      <c r="N40" s="57">
        <v>2905.3449999999998</v>
      </c>
      <c r="O40" s="56"/>
      <c r="P40" s="56"/>
      <c r="Q40" s="56"/>
      <c r="R40" s="56"/>
      <c r="S40" s="56"/>
      <c r="T40" s="56"/>
    </row>
    <row r="41" spans="1:20" ht="14.1" customHeight="1" x14ac:dyDescent="0.3">
      <c r="A41" s="62"/>
      <c r="B41" s="48" t="s">
        <v>11</v>
      </c>
      <c r="C41" s="48"/>
      <c r="D41" s="48"/>
      <c r="E41" s="52"/>
      <c r="F41" s="52"/>
      <c r="G41" s="52"/>
      <c r="H41" s="52"/>
      <c r="I41" s="52"/>
      <c r="J41" s="57">
        <v>1028.45</v>
      </c>
      <c r="K41" s="57">
        <v>1711.259</v>
      </c>
      <c r="L41" s="57">
        <v>2146.8290000000002</v>
      </c>
      <c r="M41" s="57">
        <v>1727.2529999999999</v>
      </c>
      <c r="N41" s="57">
        <v>1911.3440000000001</v>
      </c>
      <c r="O41" s="56"/>
      <c r="P41" s="56"/>
      <c r="Q41" s="56"/>
      <c r="R41" s="56"/>
      <c r="S41" s="56"/>
      <c r="T41" s="56"/>
    </row>
    <row r="42" spans="1:20" ht="14.1" customHeight="1" x14ac:dyDescent="0.3">
      <c r="A42" s="62"/>
      <c r="B42" s="48" t="s">
        <v>79</v>
      </c>
      <c r="C42" s="48"/>
      <c r="D42" s="48"/>
      <c r="E42" s="52"/>
      <c r="F42" s="52"/>
      <c r="G42" s="52"/>
      <c r="H42" s="52"/>
      <c r="I42" s="52"/>
      <c r="J42" s="57">
        <v>349.01299999999998</v>
      </c>
      <c r="K42" s="57">
        <v>546.89200000000005</v>
      </c>
      <c r="L42" s="57">
        <v>661.90499999999997</v>
      </c>
      <c r="M42" s="57">
        <v>586.37800000000004</v>
      </c>
      <c r="N42" s="57">
        <v>689.774</v>
      </c>
      <c r="O42" s="56"/>
      <c r="P42" s="56"/>
      <c r="Q42" s="56"/>
      <c r="R42" s="56"/>
      <c r="S42" s="56"/>
      <c r="T42" s="56"/>
    </row>
    <row r="43" spans="1:20" ht="14.1" customHeight="1" x14ac:dyDescent="0.3">
      <c r="A43" s="62"/>
      <c r="B43" s="48" t="s">
        <v>80</v>
      </c>
      <c r="C43" s="48"/>
      <c r="D43" s="48"/>
      <c r="E43" s="52"/>
      <c r="F43" s="52"/>
      <c r="G43" s="52"/>
      <c r="H43" s="52"/>
      <c r="I43" s="52"/>
      <c r="J43" s="57">
        <v>43.13</v>
      </c>
      <c r="K43" s="57">
        <v>72.016999999999996</v>
      </c>
      <c r="L43" s="57">
        <v>88.412999999999997</v>
      </c>
      <c r="M43" s="57">
        <v>93.522999999999996</v>
      </c>
      <c r="N43" s="57">
        <v>101.265</v>
      </c>
      <c r="O43" s="56"/>
      <c r="P43" s="56"/>
      <c r="Q43" s="56"/>
      <c r="R43" s="56"/>
      <c r="S43" s="56"/>
      <c r="T43" s="56"/>
    </row>
    <row r="44" spans="1:20" ht="14.1" customHeight="1" x14ac:dyDescent="0.3">
      <c r="A44" s="62"/>
      <c r="B44" s="48"/>
      <c r="C44" s="48"/>
      <c r="D44" s="48"/>
      <c r="E44" s="52"/>
      <c r="F44" s="52"/>
      <c r="G44" s="52"/>
      <c r="H44" s="52"/>
      <c r="I44" s="52"/>
      <c r="J44" s="57"/>
      <c r="K44" s="57"/>
      <c r="L44" s="57"/>
      <c r="M44" s="57"/>
      <c r="N44" s="57"/>
      <c r="O44" s="56"/>
      <c r="P44" s="56"/>
      <c r="Q44" s="56"/>
      <c r="R44" s="56"/>
      <c r="S44" s="56"/>
      <c r="T44" s="56"/>
    </row>
    <row r="45" spans="1:20" ht="14.1" customHeight="1" x14ac:dyDescent="0.3">
      <c r="A45" s="78">
        <v>2009</v>
      </c>
      <c r="B45" s="53"/>
      <c r="C45" s="54">
        <f>'Exh 5 Stores IS'!C45</f>
        <v>1</v>
      </c>
      <c r="D45" s="55">
        <f>'Exh 5 Stores IS'!D45</f>
        <v>14500</v>
      </c>
      <c r="E45" s="58"/>
      <c r="F45" s="58"/>
      <c r="G45" s="58"/>
      <c r="H45" s="58"/>
      <c r="I45" s="58"/>
      <c r="J45" s="58"/>
      <c r="K45" s="58">
        <v>0</v>
      </c>
      <c r="L45" s="58">
        <v>1</v>
      </c>
      <c r="M45" s="58">
        <v>2</v>
      </c>
      <c r="N45" s="58">
        <v>3</v>
      </c>
      <c r="O45" s="58">
        <v>4</v>
      </c>
      <c r="P45" s="58">
        <v>5</v>
      </c>
      <c r="Q45" s="58">
        <v>6</v>
      </c>
      <c r="R45" s="58">
        <v>7</v>
      </c>
      <c r="S45" s="58">
        <v>8</v>
      </c>
      <c r="T45" s="58">
        <v>9</v>
      </c>
    </row>
    <row r="46" spans="1:20" ht="14.1" customHeight="1" x14ac:dyDescent="0.3">
      <c r="A46" s="62"/>
      <c r="B46" s="48" t="s">
        <v>77</v>
      </c>
      <c r="C46" s="48"/>
      <c r="D46" s="48"/>
      <c r="E46" s="52"/>
      <c r="F46" s="52"/>
      <c r="G46" s="52"/>
      <c r="H46" s="52"/>
      <c r="I46" s="52"/>
      <c r="J46" s="52"/>
      <c r="K46" s="57">
        <v>394</v>
      </c>
      <c r="L46" s="56"/>
      <c r="M46" s="52"/>
      <c r="N46" s="52"/>
      <c r="O46" s="52">
        <f>IF(MOD(O45,8)=0,G46*'Exh 10 Forecast Parameters'!$B$12*(HLOOKUP('Exh 6 Stores BS'!O$2,'Exh 2 Econ Indicators'!$A$2:$S$8,2,0)/HLOOKUP('Exh 6 Stores BS'!G$2,'Exh 2 Econ Indicators'!$A$2:$S$8,2,0)),)</f>
        <v>0</v>
      </c>
      <c r="P46" s="52">
        <f>IF(MOD(P45,8)=0,H46*'Exh 10 Forecast Parameters'!$B$12*(HLOOKUP('Exh 6 Stores BS'!P$2,'Exh 2 Econ Indicators'!$A$2:$S$8,2,0)/HLOOKUP('Exh 6 Stores BS'!H$2,'Exh 2 Econ Indicators'!$A$2:$S$8,2,0)),)</f>
        <v>0</v>
      </c>
      <c r="Q46" s="52">
        <f>IF(MOD(Q45,8)=0,I46*'Exh 10 Forecast Parameters'!$B$12*(HLOOKUP('Exh 6 Stores BS'!Q$2,'Exh 2 Econ Indicators'!$A$2:$S$8,2,0)/HLOOKUP('Exh 6 Stores BS'!I$2,'Exh 2 Econ Indicators'!$A$2:$S$8,2,0)),)</f>
        <v>0</v>
      </c>
      <c r="R46" s="52">
        <f>IF(MOD(R45,8)=0,J46*'Exh 10 Forecast Parameters'!$B$12*(HLOOKUP('Exh 6 Stores BS'!R$2,'Exh 2 Econ Indicators'!$A$2:$S$8,2,0)/HLOOKUP('Exh 6 Stores BS'!J$2,'Exh 2 Econ Indicators'!$A$2:$S$8,2,0)),)</f>
        <v>0</v>
      </c>
      <c r="S46" s="52">
        <f>IF(MOD(S45,8)=0,K46*'Exh 10 Forecast Parameters'!$B$12*(HLOOKUP('Exh 6 Stores BS'!S$2,'Exh 2 Econ Indicators'!$A$2:$S$8,2,0)/HLOOKUP('Exh 6 Stores BS'!K$2,'Exh 2 Econ Indicators'!$A$2:$S$8,2,0)),)</f>
        <v>321.98074746298283</v>
      </c>
      <c r="T46" s="52">
        <f>IF(MOD(T45,8)=0,L46*'Exh 10 Forecast Parameters'!$B$12*(HLOOKUP('Exh 6 Stores BS'!T$2,'Exh 2 Econ Indicators'!$A$2:$S$8,2,0)/HLOOKUP('Exh 6 Stores BS'!L$2,'Exh 2 Econ Indicators'!$A$2:$S$8,2,0)),)</f>
        <v>0</v>
      </c>
    </row>
    <row r="47" spans="1:20" ht="14.1" customHeight="1" x14ac:dyDescent="0.3">
      <c r="A47" s="62"/>
      <c r="B47" s="48" t="s">
        <v>78</v>
      </c>
      <c r="C47" s="48"/>
      <c r="D47" s="48"/>
      <c r="E47" s="52"/>
      <c r="F47" s="52"/>
      <c r="G47" s="52"/>
      <c r="H47" s="52"/>
      <c r="I47" s="52"/>
      <c r="J47" s="52"/>
      <c r="K47" s="51"/>
      <c r="L47" s="57">
        <v>484.178</v>
      </c>
      <c r="M47" s="57">
        <v>840.23199999999997</v>
      </c>
      <c r="N47" s="57">
        <v>1190.5840000000001</v>
      </c>
      <c r="O47" s="56"/>
      <c r="P47" s="56"/>
      <c r="Q47" s="56"/>
      <c r="R47" s="56"/>
      <c r="S47" s="56"/>
      <c r="T47" s="56"/>
    </row>
    <row r="48" spans="1:20" ht="14.1" customHeight="1" x14ac:dyDescent="0.3">
      <c r="A48" s="62"/>
      <c r="B48" s="48" t="s">
        <v>11</v>
      </c>
      <c r="C48" s="48"/>
      <c r="D48" s="48"/>
      <c r="E48" s="52"/>
      <c r="F48" s="52"/>
      <c r="G48" s="52"/>
      <c r="H48" s="52"/>
      <c r="I48" s="52"/>
      <c r="J48" s="52"/>
      <c r="K48" s="57">
        <v>487.56200000000001</v>
      </c>
      <c r="L48" s="57">
        <v>882.00199999999995</v>
      </c>
      <c r="M48" s="57">
        <v>880.678</v>
      </c>
      <c r="N48" s="57">
        <v>822.82399999999996</v>
      </c>
      <c r="O48" s="56"/>
      <c r="P48" s="56"/>
      <c r="Q48" s="56"/>
      <c r="R48" s="56"/>
      <c r="S48" s="56"/>
      <c r="T48" s="56"/>
    </row>
    <row r="49" spans="1:20" ht="14.1" customHeight="1" x14ac:dyDescent="0.3">
      <c r="A49" s="62"/>
      <c r="B49" s="48" t="s">
        <v>79</v>
      </c>
      <c r="C49" s="48"/>
      <c r="D49" s="48"/>
      <c r="E49" s="52"/>
      <c r="F49" s="52"/>
      <c r="G49" s="52"/>
      <c r="H49" s="52"/>
      <c r="I49" s="52"/>
      <c r="J49" s="52"/>
      <c r="K49" s="57">
        <v>171.214</v>
      </c>
      <c r="L49" s="57">
        <v>261.20999999999998</v>
      </c>
      <c r="M49" s="57">
        <v>326.51600000000002</v>
      </c>
      <c r="N49" s="57">
        <v>281.14</v>
      </c>
      <c r="O49" s="56"/>
      <c r="P49" s="56"/>
      <c r="Q49" s="56"/>
      <c r="R49" s="56"/>
      <c r="S49" s="56"/>
      <c r="T49" s="56"/>
    </row>
    <row r="50" spans="1:20" ht="14.1" customHeight="1" x14ac:dyDescent="0.3">
      <c r="A50" s="62"/>
      <c r="B50" s="48" t="s">
        <v>80</v>
      </c>
      <c r="C50" s="48"/>
      <c r="D50" s="48"/>
      <c r="E50" s="52"/>
      <c r="F50" s="52"/>
      <c r="G50" s="52"/>
      <c r="H50" s="52"/>
      <c r="I50" s="52"/>
      <c r="J50" s="52"/>
      <c r="K50" s="57">
        <v>21.452999999999999</v>
      </c>
      <c r="L50" s="57">
        <v>33.771000000000001</v>
      </c>
      <c r="M50" s="57">
        <v>43.459000000000003</v>
      </c>
      <c r="N50" s="57">
        <v>43.726999999999997</v>
      </c>
      <c r="O50" s="56"/>
      <c r="P50" s="56"/>
      <c r="Q50" s="56"/>
      <c r="R50" s="56"/>
      <c r="S50" s="56"/>
      <c r="T50" s="56"/>
    </row>
    <row r="51" spans="1:20" ht="14.1" customHeight="1" x14ac:dyDescent="0.3">
      <c r="A51" s="62"/>
      <c r="B51" s="48"/>
      <c r="C51" s="48"/>
      <c r="D51" s="48"/>
      <c r="E51" s="52"/>
      <c r="F51" s="52"/>
      <c r="G51" s="52"/>
      <c r="H51" s="52"/>
      <c r="I51" s="52"/>
      <c r="J51" s="52"/>
      <c r="K51" s="52"/>
      <c r="L51" s="52"/>
      <c r="M51" s="52"/>
      <c r="N51" s="52"/>
      <c r="O51" s="52"/>
      <c r="P51" s="52"/>
      <c r="Q51" s="52"/>
      <c r="R51" s="52"/>
      <c r="S51" s="52"/>
      <c r="T51" s="52"/>
    </row>
    <row r="52" spans="1:20" ht="14.1" customHeight="1" x14ac:dyDescent="0.3">
      <c r="A52" s="78">
        <v>2010</v>
      </c>
      <c r="B52" s="53"/>
      <c r="C52" s="54">
        <f>'Exh 5 Stores IS'!C52</f>
        <v>2</v>
      </c>
      <c r="D52" s="55">
        <f>'Exh 5 Stores IS'!D52</f>
        <v>14700</v>
      </c>
      <c r="E52" s="58"/>
      <c r="F52" s="58"/>
      <c r="G52" s="58"/>
      <c r="H52" s="58"/>
      <c r="I52" s="58"/>
      <c r="J52" s="58"/>
      <c r="K52" s="58"/>
      <c r="L52" s="58">
        <v>0</v>
      </c>
      <c r="M52" s="58">
        <v>1</v>
      </c>
      <c r="N52" s="58">
        <v>2</v>
      </c>
      <c r="O52" s="58">
        <v>3</v>
      </c>
      <c r="P52" s="58">
        <v>4</v>
      </c>
      <c r="Q52" s="58">
        <v>5</v>
      </c>
      <c r="R52" s="58">
        <v>6</v>
      </c>
      <c r="S52" s="58">
        <v>7</v>
      </c>
      <c r="T52" s="58">
        <v>8</v>
      </c>
    </row>
    <row r="53" spans="1:20" ht="14.1" customHeight="1" x14ac:dyDescent="0.3">
      <c r="A53" s="62"/>
      <c r="B53" s="48" t="s">
        <v>77</v>
      </c>
      <c r="C53" s="48"/>
      <c r="D53" s="48"/>
      <c r="E53" s="52"/>
      <c r="F53" s="52"/>
      <c r="G53" s="52"/>
      <c r="H53" s="52"/>
      <c r="I53" s="52"/>
      <c r="J53" s="52"/>
      <c r="K53" s="52"/>
      <c r="L53" s="57">
        <v>752</v>
      </c>
      <c r="M53" s="56"/>
      <c r="N53" s="52"/>
      <c r="O53" s="52">
        <f>IF(MOD(O52,8)=0,G53*'Exh 10 Forecast Parameters'!$B$12*(HLOOKUP('Exh 6 Stores BS'!O$2,'Exh 2 Econ Indicators'!$A$2:$S$8,2,0)/HLOOKUP('Exh 6 Stores BS'!G$2,'Exh 2 Econ Indicators'!$A$2:$S$8,2,0)),)</f>
        <v>0</v>
      </c>
      <c r="P53" s="52">
        <f>IF(MOD(P52,8)=0,H53*'Exh 10 Forecast Parameters'!$B$12*(HLOOKUP('Exh 6 Stores BS'!P$2,'Exh 2 Econ Indicators'!$A$2:$S$8,2,0)/HLOOKUP('Exh 6 Stores BS'!H$2,'Exh 2 Econ Indicators'!$A$2:$S$8,2,0)),)</f>
        <v>0</v>
      </c>
      <c r="Q53" s="52">
        <f>IF(MOD(Q52,8)=0,I53*'Exh 10 Forecast Parameters'!$B$12*(HLOOKUP('Exh 6 Stores BS'!Q$2,'Exh 2 Econ Indicators'!$A$2:$S$8,2,0)/HLOOKUP('Exh 6 Stores BS'!I$2,'Exh 2 Econ Indicators'!$A$2:$S$8,2,0)),)</f>
        <v>0</v>
      </c>
      <c r="R53" s="52">
        <f>IF(MOD(R52,8)=0,J53*'Exh 10 Forecast Parameters'!$B$12*(HLOOKUP('Exh 6 Stores BS'!R$2,'Exh 2 Econ Indicators'!$A$2:$S$8,2,0)/HLOOKUP('Exh 6 Stores BS'!J$2,'Exh 2 Econ Indicators'!$A$2:$S$8,2,0)),)</f>
        <v>0</v>
      </c>
      <c r="S53" s="52">
        <f>IF(MOD(S52,8)=0,K53*'Exh 10 Forecast Parameters'!$B$12*(HLOOKUP('Exh 6 Stores BS'!S$2,'Exh 2 Econ Indicators'!$A$2:$S$8,2,0)/HLOOKUP('Exh 6 Stores BS'!K$2,'Exh 2 Econ Indicators'!$A$2:$S$8,2,0)),)</f>
        <v>0</v>
      </c>
      <c r="T53" s="52">
        <f>IF(MOD(T52,8)=0,L53*'Exh 10 Forecast Parameters'!$B$12*(HLOOKUP('Exh 6 Stores BS'!T$2,'Exh 2 Econ Indicators'!$A$2:$S$8,2,0)/HLOOKUP('Exh 6 Stores BS'!L$2,'Exh 2 Econ Indicators'!$A$2:$S$8,2,0)),)</f>
        <v>616.38428430149656</v>
      </c>
    </row>
    <row r="54" spans="1:20" ht="14.1" customHeight="1" x14ac:dyDescent="0.3">
      <c r="A54" s="62"/>
      <c r="B54" s="48" t="s">
        <v>78</v>
      </c>
      <c r="C54" s="48"/>
      <c r="D54" s="48"/>
      <c r="E54" s="52"/>
      <c r="F54" s="52"/>
      <c r="G54" s="52"/>
      <c r="H54" s="52"/>
      <c r="I54" s="52"/>
      <c r="J54" s="52"/>
      <c r="K54" s="52"/>
      <c r="L54" s="51"/>
      <c r="M54" s="57">
        <v>956.18499999999995</v>
      </c>
      <c r="N54" s="57">
        <v>1787.0119999999999</v>
      </c>
      <c r="O54" s="56"/>
      <c r="P54" s="56"/>
      <c r="Q54" s="56"/>
      <c r="R54" s="56"/>
      <c r="S54" s="56"/>
      <c r="T54" s="56"/>
    </row>
    <row r="55" spans="1:20" ht="14.1" customHeight="1" x14ac:dyDescent="0.3">
      <c r="A55" s="62"/>
      <c r="B55" s="48" t="s">
        <v>11</v>
      </c>
      <c r="C55" s="48"/>
      <c r="D55" s="48"/>
      <c r="E55" s="52"/>
      <c r="F55" s="52"/>
      <c r="G55" s="52"/>
      <c r="H55" s="52"/>
      <c r="I55" s="52"/>
      <c r="J55" s="52"/>
      <c r="K55" s="52"/>
      <c r="L55" s="57">
        <v>1013.022</v>
      </c>
      <c r="M55" s="57">
        <v>1787.462</v>
      </c>
      <c r="N55" s="57">
        <v>1912.6849999999999</v>
      </c>
      <c r="O55" s="56"/>
      <c r="P55" s="56"/>
      <c r="Q55" s="56"/>
      <c r="R55" s="56"/>
      <c r="S55" s="56"/>
      <c r="T55" s="56"/>
    </row>
    <row r="56" spans="1:20" ht="14.1" customHeight="1" x14ac:dyDescent="0.3">
      <c r="A56" s="62"/>
      <c r="B56" s="48" t="s">
        <v>79</v>
      </c>
      <c r="C56" s="48"/>
      <c r="D56" s="48"/>
      <c r="E56" s="52"/>
      <c r="F56" s="52"/>
      <c r="G56" s="52"/>
      <c r="H56" s="52"/>
      <c r="I56" s="52"/>
      <c r="J56" s="52"/>
      <c r="K56" s="52"/>
      <c r="L56" s="57">
        <v>348.197</v>
      </c>
      <c r="M56" s="57">
        <v>576.56200000000001</v>
      </c>
      <c r="N56" s="57">
        <v>682.93799999999999</v>
      </c>
      <c r="O56" s="56"/>
      <c r="P56" s="56"/>
      <c r="Q56" s="56"/>
      <c r="R56" s="56"/>
      <c r="S56" s="56"/>
      <c r="T56" s="56"/>
    </row>
    <row r="57" spans="1:20" ht="14.1" customHeight="1" x14ac:dyDescent="0.3">
      <c r="A57" s="62"/>
      <c r="B57" s="48" t="s">
        <v>80</v>
      </c>
      <c r="C57" s="48"/>
      <c r="D57" s="48"/>
      <c r="E57" s="52"/>
      <c r="F57" s="52"/>
      <c r="G57" s="52"/>
      <c r="H57" s="52"/>
      <c r="I57" s="52"/>
      <c r="J57" s="52"/>
      <c r="K57" s="52"/>
      <c r="L57" s="57">
        <v>44.384</v>
      </c>
      <c r="M57" s="57">
        <v>70.986999999999995</v>
      </c>
      <c r="N57" s="57">
        <v>90.885999999999996</v>
      </c>
      <c r="O57" s="56"/>
      <c r="P57" s="56"/>
      <c r="Q57" s="56"/>
      <c r="R57" s="56"/>
      <c r="S57" s="56"/>
      <c r="T57" s="56"/>
    </row>
    <row r="58" spans="1:20" ht="14.1" customHeight="1" x14ac:dyDescent="0.3">
      <c r="A58" s="62"/>
      <c r="B58" s="48"/>
      <c r="C58" s="48"/>
      <c r="D58" s="48"/>
      <c r="E58" s="52"/>
      <c r="F58" s="52"/>
      <c r="G58" s="52"/>
      <c r="H58" s="52"/>
      <c r="I58" s="52"/>
      <c r="J58" s="52"/>
      <c r="K58" s="52"/>
      <c r="L58" s="52"/>
      <c r="M58" s="52"/>
      <c r="N58" s="52"/>
      <c r="O58" s="52"/>
      <c r="P58" s="52"/>
      <c r="Q58" s="52"/>
      <c r="R58" s="52"/>
      <c r="S58" s="52"/>
      <c r="T58" s="52"/>
    </row>
    <row r="59" spans="1:20" ht="14.1" customHeight="1" x14ac:dyDescent="0.3">
      <c r="A59" s="78">
        <v>2011</v>
      </c>
      <c r="B59" s="53"/>
      <c r="C59" s="54">
        <f>'Exh 5 Stores IS'!C59</f>
        <v>2</v>
      </c>
      <c r="D59" s="55">
        <f>'Exh 5 Stores IS'!D59</f>
        <v>15400</v>
      </c>
      <c r="E59" s="58"/>
      <c r="F59" s="58"/>
      <c r="G59" s="58"/>
      <c r="H59" s="58"/>
      <c r="I59" s="58"/>
      <c r="J59" s="58"/>
      <c r="K59" s="58"/>
      <c r="L59" s="58"/>
      <c r="M59" s="58">
        <v>0</v>
      </c>
      <c r="N59" s="58">
        <v>1</v>
      </c>
      <c r="O59" s="58">
        <v>2</v>
      </c>
      <c r="P59" s="58">
        <v>3</v>
      </c>
      <c r="Q59" s="58">
        <v>4</v>
      </c>
      <c r="R59" s="58">
        <v>5</v>
      </c>
      <c r="S59" s="58">
        <v>6</v>
      </c>
      <c r="T59" s="58">
        <v>7</v>
      </c>
    </row>
    <row r="60" spans="1:20" ht="14.1" customHeight="1" x14ac:dyDescent="0.3">
      <c r="A60" s="62"/>
      <c r="B60" s="48" t="s">
        <v>77</v>
      </c>
      <c r="C60" s="48"/>
      <c r="D60" s="48"/>
      <c r="E60" s="52"/>
      <c r="F60" s="52"/>
      <c r="G60" s="52"/>
      <c r="H60" s="52"/>
      <c r="I60" s="52"/>
      <c r="J60" s="52"/>
      <c r="K60" s="52"/>
      <c r="L60" s="52"/>
      <c r="M60" s="57">
        <v>798</v>
      </c>
      <c r="N60" s="56"/>
      <c r="O60" s="52">
        <f>IF(MOD(O59,8)=0,G60*'Exh 10 Forecast Parameters'!$B$12*(HLOOKUP('Exh 6 Stores BS'!O$2,'Exh 2 Econ Indicators'!$A$2:$S$8,2,0)/HLOOKUP('Exh 6 Stores BS'!G$2,'Exh 2 Econ Indicators'!$A$2:$S$8,2,0)),)</f>
        <v>0</v>
      </c>
      <c r="P60" s="52">
        <f>IF(MOD(P59,8)=0,H60*'Exh 10 Forecast Parameters'!$B$12*(HLOOKUP('Exh 6 Stores BS'!P$2,'Exh 2 Econ Indicators'!$A$2:$S$8,2,0)/HLOOKUP('Exh 6 Stores BS'!H$2,'Exh 2 Econ Indicators'!$A$2:$S$8,2,0)),)</f>
        <v>0</v>
      </c>
      <c r="Q60" s="52">
        <f>IF(MOD(Q59,8)=0,I60*'Exh 10 Forecast Parameters'!$B$12*(HLOOKUP('Exh 6 Stores BS'!Q$2,'Exh 2 Econ Indicators'!$A$2:$S$8,2,0)/HLOOKUP('Exh 6 Stores BS'!I$2,'Exh 2 Econ Indicators'!$A$2:$S$8,2,0)),)</f>
        <v>0</v>
      </c>
      <c r="R60" s="52">
        <f>IF(MOD(R59,8)=0,J60*'Exh 10 Forecast Parameters'!$B$12*(HLOOKUP('Exh 6 Stores BS'!R$2,'Exh 2 Econ Indicators'!$A$2:$S$8,2,0)/HLOOKUP('Exh 6 Stores BS'!J$2,'Exh 2 Econ Indicators'!$A$2:$S$8,2,0)),)</f>
        <v>0</v>
      </c>
      <c r="S60" s="52">
        <f>IF(MOD(S59,8)=0,K60*'Exh 10 Forecast Parameters'!$B$12*(HLOOKUP('Exh 6 Stores BS'!S$2,'Exh 2 Econ Indicators'!$A$2:$S$8,2,0)/HLOOKUP('Exh 6 Stores BS'!K$2,'Exh 2 Econ Indicators'!$A$2:$S$8,2,0)),)</f>
        <v>0</v>
      </c>
      <c r="T60" s="52">
        <f>IF(MOD(T59,8)=0,L60*'Exh 10 Forecast Parameters'!$B$12*(HLOOKUP('Exh 6 Stores BS'!T$2,'Exh 2 Econ Indicators'!$A$2:$S$8,2,0)/HLOOKUP('Exh 6 Stores BS'!L$2,'Exh 2 Econ Indicators'!$A$2:$S$8,2,0)),)</f>
        <v>0</v>
      </c>
    </row>
    <row r="61" spans="1:20" ht="14.1" customHeight="1" x14ac:dyDescent="0.3">
      <c r="A61" s="62"/>
      <c r="B61" s="48" t="s">
        <v>78</v>
      </c>
      <c r="C61" s="48"/>
      <c r="D61" s="48"/>
      <c r="E61" s="52"/>
      <c r="F61" s="52"/>
      <c r="G61" s="52"/>
      <c r="H61" s="52"/>
      <c r="I61" s="52"/>
      <c r="J61" s="52"/>
      <c r="K61" s="52"/>
      <c r="L61" s="52"/>
      <c r="M61" s="51"/>
      <c r="N61" s="57">
        <v>1092.778</v>
      </c>
      <c r="O61" s="56"/>
      <c r="P61" s="56"/>
      <c r="Q61" s="56"/>
      <c r="R61" s="56"/>
      <c r="S61" s="56"/>
      <c r="T61" s="56"/>
    </row>
    <row r="62" spans="1:20" ht="14.1" customHeight="1" x14ac:dyDescent="0.3">
      <c r="A62" s="62"/>
      <c r="B62" s="48" t="s">
        <v>11</v>
      </c>
      <c r="C62" s="48"/>
      <c r="D62" s="48"/>
      <c r="E62" s="52"/>
      <c r="F62" s="52"/>
      <c r="G62" s="52"/>
      <c r="H62" s="52"/>
      <c r="I62" s="52"/>
      <c r="J62" s="52"/>
      <c r="K62" s="52"/>
      <c r="L62" s="52"/>
      <c r="M62" s="57">
        <v>1066.8789999999999</v>
      </c>
      <c r="N62" s="57">
        <v>1794.8610000000001</v>
      </c>
      <c r="O62" s="56"/>
      <c r="P62" s="56"/>
      <c r="Q62" s="56"/>
      <c r="R62" s="56"/>
      <c r="S62" s="56"/>
      <c r="T62" s="56"/>
    </row>
    <row r="63" spans="1:20" ht="14.1" customHeight="1" x14ac:dyDescent="0.3">
      <c r="A63" s="62"/>
      <c r="B63" s="48" t="s">
        <v>79</v>
      </c>
      <c r="C63" s="48"/>
      <c r="D63" s="48"/>
      <c r="E63" s="52"/>
      <c r="F63" s="52"/>
      <c r="G63" s="52"/>
      <c r="H63" s="52"/>
      <c r="I63" s="52"/>
      <c r="J63" s="52"/>
      <c r="K63" s="52"/>
      <c r="L63" s="52"/>
      <c r="M63" s="57">
        <v>386.73</v>
      </c>
      <c r="N63" s="57">
        <v>622.93200000000002</v>
      </c>
      <c r="O63" s="56"/>
      <c r="P63" s="56"/>
      <c r="Q63" s="56"/>
      <c r="R63" s="56"/>
      <c r="S63" s="56"/>
      <c r="T63" s="56"/>
    </row>
    <row r="64" spans="1:20" ht="14.1" customHeight="1" x14ac:dyDescent="0.3">
      <c r="A64" s="62"/>
      <c r="B64" s="48" t="s">
        <v>80</v>
      </c>
      <c r="C64" s="48"/>
      <c r="D64" s="48"/>
      <c r="E64" s="52"/>
      <c r="F64" s="52"/>
      <c r="G64" s="52"/>
      <c r="H64" s="52"/>
      <c r="I64" s="52"/>
      <c r="J64" s="52"/>
      <c r="K64" s="52"/>
      <c r="L64" s="52"/>
      <c r="M64" s="57">
        <v>47.103999999999999</v>
      </c>
      <c r="N64" s="57">
        <v>75.763000000000005</v>
      </c>
      <c r="O64" s="56"/>
      <c r="P64" s="56"/>
      <c r="Q64" s="56"/>
      <c r="R64" s="56"/>
      <c r="S64" s="56"/>
      <c r="T64" s="56"/>
    </row>
    <row r="65" spans="1:21" ht="14.1" customHeight="1" x14ac:dyDescent="0.3">
      <c r="A65" s="62"/>
      <c r="B65" s="48"/>
      <c r="C65" s="48"/>
      <c r="D65" s="48"/>
      <c r="E65" s="52"/>
      <c r="F65" s="52"/>
      <c r="G65" s="52"/>
      <c r="H65" s="52"/>
      <c r="I65" s="52"/>
      <c r="J65" s="52"/>
      <c r="K65" s="52"/>
      <c r="L65" s="52"/>
      <c r="M65" s="52"/>
      <c r="N65" s="52"/>
      <c r="O65" s="52"/>
      <c r="P65" s="52"/>
      <c r="Q65" s="52"/>
      <c r="R65" s="52"/>
      <c r="S65" s="52"/>
      <c r="T65" s="52"/>
    </row>
    <row r="66" spans="1:21" ht="14.1" customHeight="1" x14ac:dyDescent="0.3">
      <c r="A66" s="78">
        <v>2012</v>
      </c>
      <c r="B66" s="53"/>
      <c r="C66" s="54">
        <f>'Exh 5 Stores IS'!C66</f>
        <v>3</v>
      </c>
      <c r="D66" s="55">
        <f>'Exh 5 Stores IS'!D66</f>
        <v>16300</v>
      </c>
      <c r="E66" s="58"/>
      <c r="F66" s="58"/>
      <c r="G66" s="58"/>
      <c r="H66" s="58"/>
      <c r="I66" s="58"/>
      <c r="J66" s="58"/>
      <c r="K66" s="58"/>
      <c r="L66" s="58"/>
      <c r="M66" s="58"/>
      <c r="N66" s="58">
        <v>0</v>
      </c>
      <c r="O66" s="58">
        <v>1</v>
      </c>
      <c r="P66" s="58">
        <v>2</v>
      </c>
      <c r="Q66" s="58">
        <v>3</v>
      </c>
      <c r="R66" s="58">
        <v>4</v>
      </c>
      <c r="S66" s="58">
        <v>5</v>
      </c>
      <c r="T66" s="58">
        <v>6</v>
      </c>
    </row>
    <row r="67" spans="1:21" ht="14.1" customHeight="1" x14ac:dyDescent="0.3">
      <c r="A67" s="62"/>
      <c r="B67" s="48" t="s">
        <v>77</v>
      </c>
      <c r="C67" s="48"/>
      <c r="D67" s="48"/>
      <c r="E67" s="52"/>
      <c r="F67" s="52"/>
      <c r="G67" s="52"/>
      <c r="H67" s="52"/>
      <c r="I67" s="52"/>
      <c r="J67" s="52"/>
      <c r="K67" s="52"/>
      <c r="L67" s="52"/>
      <c r="M67" s="52"/>
      <c r="N67" s="57">
        <v>1293</v>
      </c>
      <c r="O67" s="52">
        <f>IF(MOD(O66,8)=0,G67*'Exh 10 Forecast Parameters'!$B$12*(HLOOKUP('Exh 6 Stores BS'!O$2,'Exh 2 Econ Indicators'!$A$2:$S$8,2,0)/HLOOKUP('Exh 6 Stores BS'!G$2,'Exh 2 Econ Indicators'!$A$2:$S$8,2,0)),)</f>
        <v>0</v>
      </c>
      <c r="P67" s="52">
        <f>IF(MOD(P66,8)=0,H67*'Exh 10 Forecast Parameters'!$B$12*(HLOOKUP('Exh 6 Stores BS'!P$2,'Exh 2 Econ Indicators'!$A$2:$S$8,2,0)/HLOOKUP('Exh 6 Stores BS'!H$2,'Exh 2 Econ Indicators'!$A$2:$S$8,2,0)),)</f>
        <v>0</v>
      </c>
      <c r="Q67" s="52">
        <f>IF(MOD(Q66,8)=0,I67*'Exh 10 Forecast Parameters'!$B$12*(HLOOKUP('Exh 6 Stores BS'!Q$2,'Exh 2 Econ Indicators'!$A$2:$S$8,2,0)/HLOOKUP('Exh 6 Stores BS'!I$2,'Exh 2 Econ Indicators'!$A$2:$S$8,2,0)),)</f>
        <v>0</v>
      </c>
      <c r="R67" s="52">
        <f>IF(MOD(R66,8)=0,J67*'Exh 10 Forecast Parameters'!$B$12*(HLOOKUP('Exh 6 Stores BS'!R$2,'Exh 2 Econ Indicators'!$A$2:$S$8,2,0)/HLOOKUP('Exh 6 Stores BS'!J$2,'Exh 2 Econ Indicators'!$A$2:$S$8,2,0)),)</f>
        <v>0</v>
      </c>
      <c r="S67" s="52">
        <f>IF(MOD(S66,8)=0,K67*'Exh 10 Forecast Parameters'!$B$12*(HLOOKUP('Exh 6 Stores BS'!S$2,'Exh 2 Econ Indicators'!$A$2:$S$8,2,0)/HLOOKUP('Exh 6 Stores BS'!K$2,'Exh 2 Econ Indicators'!$A$2:$S$8,2,0)),)</f>
        <v>0</v>
      </c>
      <c r="T67" s="52">
        <f>IF(MOD(T66,8)=0,L67*'Exh 10 Forecast Parameters'!$B$12*(HLOOKUP('Exh 6 Stores BS'!T$2,'Exh 2 Econ Indicators'!$A$2:$S$8,2,0)/HLOOKUP('Exh 6 Stores BS'!L$2,'Exh 2 Econ Indicators'!$A$2:$S$8,2,0)),)</f>
        <v>0</v>
      </c>
    </row>
    <row r="68" spans="1:21" ht="14.1" customHeight="1" x14ac:dyDescent="0.3">
      <c r="A68" s="62"/>
      <c r="B68" s="48" t="s">
        <v>78</v>
      </c>
      <c r="C68" s="48"/>
      <c r="D68" s="48"/>
      <c r="E68" s="52"/>
      <c r="F68" s="52"/>
      <c r="G68" s="52"/>
      <c r="H68" s="52"/>
      <c r="I68" s="52"/>
      <c r="J68" s="52"/>
      <c r="K68" s="52"/>
      <c r="L68" s="52"/>
      <c r="M68" s="52"/>
      <c r="N68" s="51"/>
      <c r="O68" s="56"/>
      <c r="P68" s="56"/>
      <c r="Q68" s="56"/>
      <c r="R68" s="56"/>
      <c r="S68" s="56"/>
      <c r="T68" s="56"/>
    </row>
    <row r="69" spans="1:21" ht="14.1" customHeight="1" x14ac:dyDescent="0.3">
      <c r="A69" s="62"/>
      <c r="B69" s="48" t="s">
        <v>11</v>
      </c>
      <c r="C69" s="48"/>
      <c r="D69" s="48"/>
      <c r="E69" s="52"/>
      <c r="F69" s="52"/>
      <c r="G69" s="52"/>
      <c r="H69" s="52"/>
      <c r="I69" s="52"/>
      <c r="J69" s="52"/>
      <c r="K69" s="52"/>
      <c r="L69" s="52"/>
      <c r="M69" s="52"/>
      <c r="N69" s="57">
        <v>1708.0319999999999</v>
      </c>
      <c r="O69" s="56"/>
      <c r="P69" s="56"/>
      <c r="Q69" s="56"/>
      <c r="R69" s="56"/>
      <c r="S69" s="56"/>
      <c r="T69" s="56"/>
    </row>
    <row r="70" spans="1:21" ht="14.1" customHeight="1" x14ac:dyDescent="0.3">
      <c r="A70" s="62"/>
      <c r="B70" s="48" t="s">
        <v>79</v>
      </c>
      <c r="C70" s="48"/>
      <c r="D70" s="48"/>
      <c r="E70" s="52"/>
      <c r="F70" s="52"/>
      <c r="G70" s="52"/>
      <c r="H70" s="52"/>
      <c r="I70" s="52"/>
      <c r="J70" s="52"/>
      <c r="K70" s="52"/>
      <c r="L70" s="52"/>
      <c r="M70" s="52"/>
      <c r="N70" s="57">
        <v>616.86900000000003</v>
      </c>
      <c r="O70" s="56"/>
      <c r="P70" s="56"/>
      <c r="Q70" s="56"/>
      <c r="R70" s="56"/>
      <c r="S70" s="56"/>
      <c r="T70" s="56"/>
    </row>
    <row r="71" spans="1:21" ht="14.1" customHeight="1" x14ac:dyDescent="0.3">
      <c r="A71" s="62"/>
      <c r="B71" s="48" t="s">
        <v>80</v>
      </c>
      <c r="C71" s="48"/>
      <c r="D71" s="48"/>
      <c r="E71" s="52"/>
      <c r="F71" s="52"/>
      <c r="G71" s="52"/>
      <c r="H71" s="52"/>
      <c r="I71" s="52"/>
      <c r="J71" s="52"/>
      <c r="K71" s="52"/>
      <c r="L71" s="52"/>
      <c r="M71" s="52"/>
      <c r="N71" s="57">
        <v>78.602000000000004</v>
      </c>
      <c r="O71" s="56"/>
      <c r="P71" s="56"/>
      <c r="Q71" s="56"/>
      <c r="R71" s="56"/>
      <c r="S71" s="56"/>
      <c r="T71" s="56"/>
    </row>
    <row r="72" spans="1:21" ht="14.1" customHeight="1" x14ac:dyDescent="0.3">
      <c r="A72" s="62"/>
      <c r="B72" s="48"/>
      <c r="C72" s="48"/>
      <c r="D72" s="48"/>
      <c r="E72" s="52"/>
      <c r="F72" s="52"/>
      <c r="G72" s="52"/>
      <c r="H72" s="52"/>
      <c r="I72" s="52"/>
      <c r="J72" s="52"/>
      <c r="K72" s="52"/>
      <c r="L72" s="52"/>
      <c r="M72" s="52"/>
      <c r="N72" s="57"/>
      <c r="O72" s="56"/>
      <c r="P72" s="56"/>
      <c r="Q72" s="56"/>
      <c r="R72" s="56"/>
      <c r="S72" s="56"/>
      <c r="T72" s="56"/>
    </row>
    <row r="73" spans="1:21" ht="14.1" customHeight="1" x14ac:dyDescent="0.3">
      <c r="A73" s="78">
        <v>2013</v>
      </c>
      <c r="B73" s="53"/>
      <c r="C73" s="54">
        <f>'Exh 5 Stores IS'!C73</f>
        <v>2</v>
      </c>
      <c r="D73" s="55">
        <f>'Exh 5 Stores IS'!D73</f>
        <v>16000</v>
      </c>
      <c r="E73" s="58"/>
      <c r="F73" s="58"/>
      <c r="G73" s="58"/>
      <c r="H73" s="58"/>
      <c r="I73" s="58"/>
      <c r="J73" s="58"/>
      <c r="K73" s="58"/>
      <c r="L73" s="58"/>
      <c r="M73" s="58"/>
      <c r="N73" s="58"/>
      <c r="O73" s="58">
        <v>0</v>
      </c>
      <c r="P73" s="58">
        <v>1</v>
      </c>
      <c r="Q73" s="58">
        <v>2</v>
      </c>
      <c r="R73" s="58">
        <v>3</v>
      </c>
      <c r="S73" s="58">
        <v>4</v>
      </c>
      <c r="T73" s="58">
        <v>5</v>
      </c>
    </row>
    <row r="74" spans="1:21" ht="14.1" customHeight="1" x14ac:dyDescent="0.3">
      <c r="A74" s="62"/>
      <c r="B74" s="48" t="s">
        <v>77</v>
      </c>
      <c r="C74" s="48"/>
      <c r="D74" s="48"/>
      <c r="E74" s="52"/>
      <c r="F74" s="52"/>
      <c r="G74" s="52"/>
      <c r="H74" s="52"/>
      <c r="I74" s="52"/>
      <c r="J74" s="52"/>
      <c r="K74" s="52"/>
      <c r="L74" s="52"/>
      <c r="M74" s="52"/>
      <c r="N74" s="52"/>
      <c r="O74" s="57">
        <f>$C73*$D73*($N$67/($C$66*$D$66))*(HLOOKUP(O$2,'Exh 2 Econ Indicators'!$B$2:$S$3,2,FALSE)/HLOOKUP(2012,'Exh 2 Econ Indicators'!$B$2:$S$3,2,FALSE))</f>
        <v>860.35003680981595</v>
      </c>
      <c r="P74" s="52">
        <f>IF(MOD(P73,8)=0,H74*'Exh 10 Forecast Parameters'!$B$12*(HLOOKUP('Exh 6 Stores BS'!P$2,'Exh 2 Econ Indicators'!$A$2:$S$8,2,0)/HLOOKUP('Exh 6 Stores BS'!H$2,'Exh 2 Econ Indicators'!$A$2:$S$8,2,0)),)</f>
        <v>0</v>
      </c>
      <c r="Q74" s="52">
        <f>IF(MOD(Q73,8)=0,I74*'Exh 10 Forecast Parameters'!$B$12*(HLOOKUP('Exh 6 Stores BS'!Q$2,'Exh 2 Econ Indicators'!$A$2:$S$8,2,0)/HLOOKUP('Exh 6 Stores BS'!I$2,'Exh 2 Econ Indicators'!$A$2:$S$8,2,0)),)</f>
        <v>0</v>
      </c>
      <c r="R74" s="52">
        <f>IF(MOD(R73,8)=0,J74*'Exh 10 Forecast Parameters'!$B$12*(HLOOKUP('Exh 6 Stores BS'!R$2,'Exh 2 Econ Indicators'!$A$2:$S$8,2,0)/HLOOKUP('Exh 6 Stores BS'!J$2,'Exh 2 Econ Indicators'!$A$2:$S$8,2,0)),)</f>
        <v>0</v>
      </c>
      <c r="S74" s="52">
        <f>IF(MOD(S73,8)=0,K74*'Exh 10 Forecast Parameters'!$B$12*(HLOOKUP('Exh 6 Stores BS'!S$2,'Exh 2 Econ Indicators'!$A$2:$S$8,2,0)/HLOOKUP('Exh 6 Stores BS'!K$2,'Exh 2 Econ Indicators'!$A$2:$S$8,2,0)),)</f>
        <v>0</v>
      </c>
      <c r="T74" s="52">
        <f>IF(MOD(T73,8)=0,L74*'Exh 10 Forecast Parameters'!$B$12*(HLOOKUP('Exh 6 Stores BS'!T$2,'Exh 2 Econ Indicators'!$A$2:$S$8,2,0)/HLOOKUP('Exh 6 Stores BS'!L$2,'Exh 2 Econ Indicators'!$A$2:$S$8,2,0)),)</f>
        <v>0</v>
      </c>
      <c r="U74" s="52"/>
    </row>
    <row r="75" spans="1:21" ht="14.1" customHeight="1" x14ac:dyDescent="0.3">
      <c r="A75" s="62"/>
      <c r="B75" s="48" t="s">
        <v>78</v>
      </c>
      <c r="C75" s="48"/>
      <c r="D75" s="48"/>
      <c r="E75" s="52"/>
      <c r="F75" s="52"/>
      <c r="G75" s="52"/>
      <c r="H75" s="52"/>
      <c r="I75" s="52"/>
      <c r="J75" s="52"/>
      <c r="K75" s="52"/>
      <c r="L75" s="52"/>
      <c r="M75" s="52"/>
      <c r="N75" s="52"/>
      <c r="O75" s="52"/>
      <c r="P75" s="56"/>
      <c r="Q75" s="56"/>
      <c r="R75" s="56"/>
      <c r="S75" s="56"/>
      <c r="T75" s="56"/>
    </row>
    <row r="76" spans="1:21" ht="14.1" customHeight="1" x14ac:dyDescent="0.3">
      <c r="A76" s="62"/>
      <c r="B76" s="48" t="s">
        <v>11</v>
      </c>
      <c r="C76" s="48"/>
      <c r="D76" s="48"/>
      <c r="E76" s="52"/>
      <c r="F76" s="52"/>
      <c r="G76" s="52"/>
      <c r="H76" s="52"/>
      <c r="I76" s="52"/>
      <c r="J76" s="52"/>
      <c r="K76" s="52"/>
      <c r="L76" s="52"/>
      <c r="M76" s="52"/>
      <c r="N76" s="52"/>
      <c r="O76" s="56"/>
      <c r="P76" s="56"/>
      <c r="Q76" s="56"/>
      <c r="R76" s="56"/>
      <c r="S76" s="56"/>
      <c r="T76" s="56"/>
    </row>
    <row r="77" spans="1:21" ht="14.1" customHeight="1" x14ac:dyDescent="0.3">
      <c r="A77" s="62"/>
      <c r="B77" s="48" t="s">
        <v>79</v>
      </c>
      <c r="C77" s="48"/>
      <c r="D77" s="48"/>
      <c r="E77" s="52"/>
      <c r="F77" s="52"/>
      <c r="G77" s="52"/>
      <c r="H77" s="52"/>
      <c r="I77" s="52"/>
      <c r="J77" s="52"/>
      <c r="K77" s="52"/>
      <c r="L77" s="52"/>
      <c r="M77" s="52"/>
      <c r="N77" s="52"/>
      <c r="O77" s="56"/>
      <c r="P77" s="56"/>
      <c r="Q77" s="56"/>
      <c r="R77" s="56"/>
      <c r="S77" s="56"/>
      <c r="T77" s="56"/>
    </row>
    <row r="78" spans="1:21" ht="14.1" customHeight="1" x14ac:dyDescent="0.3">
      <c r="A78" s="62"/>
      <c r="B78" s="48" t="s">
        <v>80</v>
      </c>
      <c r="C78" s="48"/>
      <c r="D78" s="48"/>
      <c r="E78" s="52"/>
      <c r="F78" s="52"/>
      <c r="G78" s="52"/>
      <c r="H78" s="52"/>
      <c r="I78" s="52"/>
      <c r="J78" s="52"/>
      <c r="K78" s="52"/>
      <c r="L78" s="52"/>
      <c r="M78" s="52"/>
      <c r="N78" s="52"/>
      <c r="O78" s="56"/>
      <c r="P78" s="56"/>
      <c r="Q78" s="56"/>
      <c r="R78" s="56"/>
      <c r="S78" s="56"/>
      <c r="T78" s="56"/>
    </row>
    <row r="79" spans="1:21" ht="14.1" customHeight="1" x14ac:dyDescent="0.3">
      <c r="A79" s="62"/>
      <c r="B79" s="48"/>
      <c r="C79" s="48"/>
      <c r="D79" s="48"/>
      <c r="E79" s="52"/>
      <c r="F79" s="52"/>
      <c r="G79" s="52"/>
      <c r="H79" s="52"/>
      <c r="I79" s="52"/>
      <c r="J79" s="52"/>
      <c r="K79" s="52"/>
      <c r="L79" s="52"/>
      <c r="M79" s="52"/>
      <c r="N79" s="52"/>
      <c r="O79" s="52"/>
      <c r="P79" s="52"/>
      <c r="Q79" s="52"/>
      <c r="R79" s="52"/>
      <c r="S79" s="52"/>
      <c r="T79" s="52"/>
    </row>
    <row r="80" spans="1:21" ht="14.1" customHeight="1" x14ac:dyDescent="0.3">
      <c r="A80" s="78">
        <v>2014</v>
      </c>
      <c r="B80" s="53"/>
      <c r="C80" s="54">
        <f>'Exh 5 Stores IS'!C80</f>
        <v>2</v>
      </c>
      <c r="D80" s="55">
        <f>'Exh 5 Stores IS'!D80</f>
        <v>16000</v>
      </c>
      <c r="E80" s="58"/>
      <c r="F80" s="58"/>
      <c r="G80" s="58"/>
      <c r="H80" s="58"/>
      <c r="I80" s="58"/>
      <c r="J80" s="58"/>
      <c r="K80" s="58"/>
      <c r="L80" s="58"/>
      <c r="M80" s="58"/>
      <c r="N80" s="58"/>
      <c r="O80" s="58"/>
      <c r="P80" s="58">
        <v>0</v>
      </c>
      <c r="Q80" s="58">
        <v>1</v>
      </c>
      <c r="R80" s="58">
        <v>2</v>
      </c>
      <c r="S80" s="58">
        <v>3</v>
      </c>
      <c r="T80" s="58">
        <v>4</v>
      </c>
    </row>
    <row r="81" spans="1:23" ht="14.1" customHeight="1" x14ac:dyDescent="0.3">
      <c r="A81" s="62"/>
      <c r="B81" s="48" t="s">
        <v>77</v>
      </c>
      <c r="C81" s="48"/>
      <c r="D81" s="48"/>
      <c r="E81" s="52"/>
      <c r="F81" s="52"/>
      <c r="G81" s="52"/>
      <c r="H81" s="52"/>
      <c r="I81" s="52"/>
      <c r="J81" s="52"/>
      <c r="K81" s="52"/>
      <c r="L81" s="52"/>
      <c r="M81" s="52"/>
      <c r="N81" s="52"/>
      <c r="O81" s="52"/>
      <c r="P81" s="57">
        <f>$C80*$D80*($N$67/($C$66*$D$66))*(HLOOKUP(P$2,'Exh 2 Econ Indicators'!$B$2:$S$3,2,FALSE)/HLOOKUP(2012,'Exh 2 Econ Indicators'!$B$2:$S$3,2,FALSE))</f>
        <v>875.92237247607363</v>
      </c>
      <c r="Q81" s="52">
        <f>IF(MOD(Q80,8)=0,I81*'Exh 10 Forecast Parameters'!$B$12*(HLOOKUP('Exh 6 Stores BS'!Q$2,'Exh 2 Econ Indicators'!$A$2:$S$8,2,0)/HLOOKUP('Exh 6 Stores BS'!I$2,'Exh 2 Econ Indicators'!$A$2:$S$8,2,0)),)</f>
        <v>0</v>
      </c>
      <c r="R81" s="52">
        <f>IF(MOD(R80,8)=0,J81*'Exh 10 Forecast Parameters'!$B$12*(HLOOKUP('Exh 6 Stores BS'!R$2,'Exh 2 Econ Indicators'!$A$2:$S$8,2,0)/HLOOKUP('Exh 6 Stores BS'!J$2,'Exh 2 Econ Indicators'!$A$2:$S$8,2,0)),)</f>
        <v>0</v>
      </c>
      <c r="S81" s="52">
        <f>IF(MOD(S80,8)=0,K81*'Exh 10 Forecast Parameters'!$B$12*(HLOOKUP('Exh 6 Stores BS'!S$2,'Exh 2 Econ Indicators'!$A$2:$S$8,2,0)/HLOOKUP('Exh 6 Stores BS'!K$2,'Exh 2 Econ Indicators'!$A$2:$S$8,2,0)),)</f>
        <v>0</v>
      </c>
      <c r="T81" s="52">
        <f>IF(MOD(T80,8)=0,L81*'Exh 10 Forecast Parameters'!$B$12*(HLOOKUP('Exh 6 Stores BS'!T$2,'Exh 2 Econ Indicators'!$A$2:$S$8,2,0)/HLOOKUP('Exh 6 Stores BS'!L$2,'Exh 2 Econ Indicators'!$A$2:$S$8,2,0)),)</f>
        <v>0</v>
      </c>
      <c r="U81" s="52"/>
      <c r="V81" s="52"/>
    </row>
    <row r="82" spans="1:23" ht="14.1" customHeight="1" x14ac:dyDescent="0.3">
      <c r="A82" s="62"/>
      <c r="B82" s="48" t="s">
        <v>78</v>
      </c>
      <c r="C82" s="48"/>
      <c r="D82" s="48"/>
      <c r="E82" s="52"/>
      <c r="F82" s="52"/>
      <c r="G82" s="52"/>
      <c r="H82" s="52"/>
      <c r="I82" s="52"/>
      <c r="J82" s="52"/>
      <c r="K82" s="52"/>
      <c r="L82" s="52"/>
      <c r="M82" s="52"/>
      <c r="N82" s="52"/>
      <c r="O82" s="52"/>
      <c r="P82" s="52"/>
      <c r="Q82" s="56"/>
      <c r="R82" s="56"/>
      <c r="S82" s="56"/>
      <c r="T82" s="56"/>
    </row>
    <row r="83" spans="1:23" ht="14.1" customHeight="1" x14ac:dyDescent="0.3">
      <c r="A83" s="62"/>
      <c r="B83" s="48" t="s">
        <v>11</v>
      </c>
      <c r="C83" s="48"/>
      <c r="D83" s="48"/>
      <c r="E83" s="52"/>
      <c r="F83" s="52"/>
      <c r="G83" s="52"/>
      <c r="H83" s="52"/>
      <c r="I83" s="52"/>
      <c r="J83" s="52"/>
      <c r="K83" s="52"/>
      <c r="L83" s="52"/>
      <c r="M83" s="52"/>
      <c r="N83" s="52"/>
      <c r="O83" s="52"/>
      <c r="P83" s="56"/>
      <c r="Q83" s="56"/>
      <c r="R83" s="56"/>
      <c r="S83" s="56"/>
      <c r="T83" s="56"/>
    </row>
    <row r="84" spans="1:23" ht="14.1" customHeight="1" x14ac:dyDescent="0.3">
      <c r="A84" s="62"/>
      <c r="B84" s="48" t="s">
        <v>79</v>
      </c>
      <c r="C84" s="48"/>
      <c r="D84" s="48"/>
      <c r="E84" s="52"/>
      <c r="F84" s="52"/>
      <c r="G84" s="52"/>
      <c r="H84" s="52"/>
      <c r="I84" s="52"/>
      <c r="J84" s="52"/>
      <c r="K84" s="52"/>
      <c r="L84" s="52"/>
      <c r="M84" s="52"/>
      <c r="N84" s="52"/>
      <c r="O84" s="52"/>
      <c r="P84" s="56"/>
      <c r="Q84" s="56"/>
      <c r="R84" s="56"/>
      <c r="S84" s="56"/>
      <c r="T84" s="56"/>
    </row>
    <row r="85" spans="1:23" ht="14.1" customHeight="1" x14ac:dyDescent="0.3">
      <c r="A85" s="62"/>
      <c r="B85" s="48" t="s">
        <v>80</v>
      </c>
      <c r="C85" s="48"/>
      <c r="D85" s="48"/>
      <c r="E85" s="52"/>
      <c r="F85" s="52"/>
      <c r="G85" s="52"/>
      <c r="H85" s="52"/>
      <c r="I85" s="52"/>
      <c r="J85" s="52"/>
      <c r="K85" s="52"/>
      <c r="L85" s="52"/>
      <c r="M85" s="52"/>
      <c r="N85" s="52"/>
      <c r="O85" s="52"/>
      <c r="P85" s="56"/>
      <c r="Q85" s="56"/>
      <c r="R85" s="56"/>
      <c r="S85" s="56"/>
      <c r="T85" s="56"/>
    </row>
    <row r="86" spans="1:23" ht="14.1" customHeight="1" x14ac:dyDescent="0.3">
      <c r="A86" s="62"/>
      <c r="B86" s="48"/>
      <c r="C86" s="48"/>
      <c r="D86" s="48"/>
      <c r="E86" s="52"/>
      <c r="F86" s="52"/>
      <c r="G86" s="52"/>
      <c r="H86" s="52"/>
      <c r="I86" s="52"/>
      <c r="J86" s="52"/>
      <c r="K86" s="52"/>
      <c r="L86" s="52"/>
      <c r="M86" s="52"/>
      <c r="N86" s="52"/>
      <c r="O86" s="52"/>
      <c r="P86" s="52"/>
      <c r="Q86" s="52"/>
      <c r="R86" s="52"/>
      <c r="S86" s="52"/>
      <c r="T86" s="52"/>
    </row>
    <row r="87" spans="1:23" ht="14.1" customHeight="1" x14ac:dyDescent="0.3">
      <c r="A87" s="78">
        <v>2015</v>
      </c>
      <c r="B87" s="53"/>
      <c r="C87" s="54">
        <f>'Exh 5 Stores IS'!C87</f>
        <v>2</v>
      </c>
      <c r="D87" s="55">
        <f>'Exh 5 Stores IS'!D87</f>
        <v>15000</v>
      </c>
      <c r="E87" s="58"/>
      <c r="F87" s="58"/>
      <c r="G87" s="58"/>
      <c r="H87" s="58"/>
      <c r="I87" s="58"/>
      <c r="J87" s="58"/>
      <c r="K87" s="58"/>
      <c r="L87" s="58"/>
      <c r="M87" s="58"/>
      <c r="N87" s="58"/>
      <c r="O87" s="58"/>
      <c r="P87" s="58"/>
      <c r="Q87" s="58">
        <v>0</v>
      </c>
      <c r="R87" s="58">
        <v>1</v>
      </c>
      <c r="S87" s="58">
        <v>2</v>
      </c>
      <c r="T87" s="58">
        <v>3</v>
      </c>
    </row>
    <row r="88" spans="1:23" ht="14.1" customHeight="1" x14ac:dyDescent="0.3">
      <c r="A88" s="62"/>
      <c r="B88" s="48" t="s">
        <v>77</v>
      </c>
      <c r="C88" s="48"/>
      <c r="D88" s="48"/>
      <c r="E88" s="52"/>
      <c r="F88" s="52"/>
      <c r="G88" s="52"/>
      <c r="H88" s="52"/>
      <c r="I88" s="52"/>
      <c r="J88" s="52"/>
      <c r="K88" s="52"/>
      <c r="L88" s="52"/>
      <c r="M88" s="52"/>
      <c r="N88" s="52"/>
      <c r="O88" s="52"/>
      <c r="P88" s="52"/>
      <c r="Q88" s="57">
        <f>$C87*$D87*($N$67/($C$66*$D$66))*(HLOOKUP(Q$2,'Exh 2 Econ Indicators'!$B$2:$S$3,2,FALSE)/HLOOKUP(2012,'Exh 2 Econ Indicators'!$B$2:$S$3,2,FALSE))</f>
        <v>837.1080623457276</v>
      </c>
      <c r="R88" s="52">
        <f>IF(MOD(R87,8)=0,J88*'Exh 10 Forecast Parameters'!$B$12*(HLOOKUP('Exh 6 Stores BS'!R$2,'Exh 2 Econ Indicators'!$A$2:$S$8,2,0)/HLOOKUP('Exh 6 Stores BS'!J$2,'Exh 2 Econ Indicators'!$A$2:$S$8,2,0)),)</f>
        <v>0</v>
      </c>
      <c r="S88" s="52">
        <f>IF(MOD(S87,8)=0,K88*'Exh 10 Forecast Parameters'!$B$12*(HLOOKUP('Exh 6 Stores BS'!S$2,'Exh 2 Econ Indicators'!$A$2:$S$8,2,0)/HLOOKUP('Exh 6 Stores BS'!K$2,'Exh 2 Econ Indicators'!$A$2:$S$8,2,0)),)</f>
        <v>0</v>
      </c>
      <c r="T88" s="52">
        <f>IF(MOD(T87,8)=0,L88*'Exh 10 Forecast Parameters'!$B$12*(HLOOKUP('Exh 6 Stores BS'!T$2,'Exh 2 Econ Indicators'!$A$2:$S$8,2,0)/HLOOKUP('Exh 6 Stores BS'!L$2,'Exh 2 Econ Indicators'!$A$2:$S$8,2,0)),)</f>
        <v>0</v>
      </c>
      <c r="U88" s="52"/>
      <c r="V88" s="52"/>
      <c r="W88" s="52"/>
    </row>
    <row r="89" spans="1:23" ht="14.1" customHeight="1" x14ac:dyDescent="0.3">
      <c r="A89" s="62"/>
      <c r="B89" s="48" t="s">
        <v>78</v>
      </c>
      <c r="C89" s="48"/>
      <c r="D89" s="48"/>
      <c r="E89" s="52"/>
      <c r="F89" s="52"/>
      <c r="G89" s="52"/>
      <c r="H89" s="52"/>
      <c r="I89" s="52"/>
      <c r="J89" s="52"/>
      <c r="K89" s="52"/>
      <c r="L89" s="52"/>
      <c r="M89" s="52"/>
      <c r="N89" s="52"/>
      <c r="O89" s="52"/>
      <c r="P89" s="52"/>
      <c r="Q89" s="52"/>
      <c r="R89" s="56"/>
      <c r="S89" s="56"/>
      <c r="T89" s="56"/>
    </row>
    <row r="90" spans="1:23" ht="14.1" customHeight="1" x14ac:dyDescent="0.3">
      <c r="A90" s="62"/>
      <c r="B90" s="48" t="s">
        <v>11</v>
      </c>
      <c r="C90" s="48"/>
      <c r="D90" s="48"/>
      <c r="E90" s="52"/>
      <c r="F90" s="52"/>
      <c r="G90" s="52"/>
      <c r="H90" s="52"/>
      <c r="I90" s="52"/>
      <c r="J90" s="52"/>
      <c r="K90" s="52"/>
      <c r="L90" s="52"/>
      <c r="M90" s="52"/>
      <c r="N90" s="52"/>
      <c r="O90" s="52"/>
      <c r="P90" s="52"/>
      <c r="Q90" s="56"/>
      <c r="R90" s="56"/>
      <c r="S90" s="56"/>
      <c r="T90" s="56"/>
    </row>
    <row r="91" spans="1:23" ht="14.1" customHeight="1" x14ac:dyDescent="0.3">
      <c r="A91" s="62"/>
      <c r="B91" s="48" t="s">
        <v>79</v>
      </c>
      <c r="C91" s="48"/>
      <c r="D91" s="48"/>
      <c r="E91" s="52"/>
      <c r="F91" s="52"/>
      <c r="G91" s="52"/>
      <c r="H91" s="52"/>
      <c r="I91" s="52"/>
      <c r="J91" s="52"/>
      <c r="K91" s="52"/>
      <c r="L91" s="52"/>
      <c r="M91" s="52"/>
      <c r="N91" s="52"/>
      <c r="O91" s="52"/>
      <c r="P91" s="52"/>
      <c r="Q91" s="56"/>
      <c r="R91" s="56"/>
      <c r="S91" s="56"/>
      <c r="T91" s="56"/>
    </row>
    <row r="92" spans="1:23" ht="14.1" customHeight="1" x14ac:dyDescent="0.3">
      <c r="A92" s="62"/>
      <c r="B92" s="48" t="s">
        <v>80</v>
      </c>
      <c r="C92" s="48"/>
      <c r="D92" s="48"/>
      <c r="E92" s="52"/>
      <c r="F92" s="52"/>
      <c r="G92" s="52"/>
      <c r="H92" s="52"/>
      <c r="I92" s="52"/>
      <c r="J92" s="52"/>
      <c r="K92" s="52"/>
      <c r="L92" s="52"/>
      <c r="M92" s="52"/>
      <c r="N92" s="52"/>
      <c r="O92" s="52"/>
      <c r="P92" s="52"/>
      <c r="Q92" s="56"/>
      <c r="R92" s="56"/>
      <c r="S92" s="56"/>
      <c r="T92" s="56"/>
    </row>
    <row r="93" spans="1:23" ht="15" customHeight="1" x14ac:dyDescent="0.3"/>
    <row r="94" spans="1:23" ht="15" customHeight="1" x14ac:dyDescent="0.3"/>
  </sheetData>
  <pageMargins left="0.7" right="0.7" top="0.75" bottom="0.75" header="0.3" footer="0.3"/>
  <pageSetup scale="62" fitToHeight="0"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11"/>
  <sheetViews>
    <sheetView workbookViewId="0">
      <selection activeCell="L10" sqref="L10"/>
    </sheetView>
  </sheetViews>
  <sheetFormatPr defaultColWidth="8.77734375" defaultRowHeight="14.4" x14ac:dyDescent="0.3"/>
  <cols>
    <col min="1" max="1" width="5.77734375" customWidth="1"/>
    <col min="2" max="2" width="25.77734375" customWidth="1"/>
    <col min="3" max="12" width="9.21875" customWidth="1"/>
  </cols>
  <sheetData>
    <row r="1" spans="1:12" ht="18" x14ac:dyDescent="0.35">
      <c r="A1" s="10" t="s">
        <v>68</v>
      </c>
    </row>
    <row r="2" spans="1:12" x14ac:dyDescent="0.3">
      <c r="C2" s="4">
        <v>2003</v>
      </c>
      <c r="D2" s="4">
        <v>2004</v>
      </c>
      <c r="E2" s="4">
        <v>2005</v>
      </c>
      <c r="F2" s="4">
        <v>2006</v>
      </c>
      <c r="G2" s="4">
        <v>2007</v>
      </c>
      <c r="H2" s="4">
        <v>2008</v>
      </c>
      <c r="I2" s="4">
        <v>2009</v>
      </c>
      <c r="J2" s="4">
        <v>2010</v>
      </c>
      <c r="K2" s="4">
        <v>2011</v>
      </c>
      <c r="L2" s="4">
        <v>2012</v>
      </c>
    </row>
    <row r="3" spans="1:12" x14ac:dyDescent="0.3">
      <c r="B3" t="s">
        <v>0</v>
      </c>
      <c r="C3" s="7"/>
      <c r="D3" s="32">
        <v>2056.5</v>
      </c>
      <c r="E3" s="32">
        <v>10415</v>
      </c>
      <c r="F3" s="32">
        <v>26700.6</v>
      </c>
      <c r="G3" s="32">
        <v>51539.6</v>
      </c>
      <c r="H3" s="32">
        <v>79191</v>
      </c>
      <c r="I3" s="32">
        <v>90679.7</v>
      </c>
      <c r="J3" s="32">
        <v>111451</v>
      </c>
      <c r="K3" s="32">
        <v>134093.29999999999</v>
      </c>
      <c r="L3" s="32">
        <v>148217.9</v>
      </c>
    </row>
    <row r="4" spans="1:12" x14ac:dyDescent="0.3">
      <c r="B4" s="13" t="s">
        <v>40</v>
      </c>
      <c r="C4" s="7"/>
      <c r="D4" s="32">
        <v>-2582.4839999999999</v>
      </c>
      <c r="E4" s="32">
        <v>-12002.552</v>
      </c>
      <c r="F4" s="32">
        <v>-29393.636999999999</v>
      </c>
      <c r="G4" s="32">
        <v>-53143.777999999998</v>
      </c>
      <c r="H4" s="32">
        <v>-77591.462</v>
      </c>
      <c r="I4" s="32">
        <v>-84510.183000000005</v>
      </c>
      <c r="J4" s="32">
        <v>-89221.95</v>
      </c>
      <c r="K4" s="32">
        <v>-100704.264</v>
      </c>
      <c r="L4" s="32">
        <v>-112132.274</v>
      </c>
    </row>
    <row r="5" spans="1:12" x14ac:dyDescent="0.3">
      <c r="B5" s="13" t="s">
        <v>41</v>
      </c>
      <c r="C5" s="11"/>
      <c r="D5" s="33">
        <v>0</v>
      </c>
      <c r="E5" s="33">
        <v>0</v>
      </c>
      <c r="F5" s="33">
        <v>0</v>
      </c>
      <c r="G5" s="33">
        <v>0</v>
      </c>
      <c r="H5" s="33">
        <v>0</v>
      </c>
      <c r="I5" s="33">
        <v>-543.322</v>
      </c>
      <c r="J5" s="33">
        <v>-8891.6200000000008</v>
      </c>
      <c r="K5" s="33">
        <v>-13355.614</v>
      </c>
      <c r="L5" s="33">
        <v>-14434.25</v>
      </c>
    </row>
    <row r="6" spans="1:12" x14ac:dyDescent="0.3">
      <c r="B6" t="s">
        <v>18</v>
      </c>
      <c r="C6" s="7">
        <f>SUM(C3:C5)</f>
        <v>0</v>
      </c>
      <c r="D6" s="7">
        <f t="shared" ref="D6:L6" si="0">SUM(D3:D5)</f>
        <v>-525.98399999999992</v>
      </c>
      <c r="E6" s="7">
        <f t="shared" si="0"/>
        <v>-1587.5519999999997</v>
      </c>
      <c r="F6" s="7">
        <f t="shared" si="0"/>
        <v>-2693.0370000000003</v>
      </c>
      <c r="G6" s="7">
        <f t="shared" si="0"/>
        <v>-1604.1779999999999</v>
      </c>
      <c r="H6" s="7">
        <f t="shared" si="0"/>
        <v>1599.5380000000005</v>
      </c>
      <c r="I6" s="7">
        <f t="shared" si="0"/>
        <v>5626.1949999999924</v>
      </c>
      <c r="J6" s="7">
        <f t="shared" si="0"/>
        <v>13337.430000000002</v>
      </c>
      <c r="K6" s="7">
        <f t="shared" si="0"/>
        <v>20033.421999999991</v>
      </c>
      <c r="L6" s="7">
        <f t="shared" si="0"/>
        <v>21651.375999999989</v>
      </c>
    </row>
    <row r="7" spans="1:12" x14ac:dyDescent="0.3">
      <c r="B7" s="13" t="s">
        <v>72</v>
      </c>
      <c r="C7" s="32">
        <v>-358</v>
      </c>
      <c r="D7" s="32">
        <v>-1175</v>
      </c>
      <c r="E7" s="32">
        <v>-1814</v>
      </c>
      <c r="F7" s="32">
        <v>-2971</v>
      </c>
      <c r="G7" s="32">
        <v>-4058</v>
      </c>
      <c r="H7" s="32">
        <v>-924</v>
      </c>
      <c r="I7" s="32">
        <v>-394</v>
      </c>
      <c r="J7" s="32">
        <v>-752</v>
      </c>
      <c r="K7" s="32">
        <v>-1122.4000000000001</v>
      </c>
      <c r="L7" s="32">
        <v>-2228.6</v>
      </c>
    </row>
    <row r="8" spans="1:12" x14ac:dyDescent="0.3">
      <c r="B8" s="13" t="s">
        <v>42</v>
      </c>
      <c r="C8" s="32">
        <v>0</v>
      </c>
      <c r="D8" s="32">
        <v>71.599999999999994</v>
      </c>
      <c r="E8" s="32">
        <v>306.60000000000002</v>
      </c>
      <c r="F8" s="32">
        <v>669.4</v>
      </c>
      <c r="G8" s="32">
        <v>1263.5999999999999</v>
      </c>
      <c r="H8" s="32">
        <v>2075.1999999999998</v>
      </c>
      <c r="I8" s="32">
        <v>2188.4</v>
      </c>
      <c r="J8" s="32">
        <v>2032.2</v>
      </c>
      <c r="K8" s="32">
        <v>1819.8</v>
      </c>
      <c r="L8" s="32">
        <v>1450.08</v>
      </c>
    </row>
    <row r="9" spans="1:12" x14ac:dyDescent="0.3">
      <c r="B9" s="13" t="s">
        <v>43</v>
      </c>
      <c r="C9" s="33">
        <v>-405.92399999999998</v>
      </c>
      <c r="D9" s="33">
        <v>-2193.3420000000001</v>
      </c>
      <c r="E9" s="33">
        <v>-5956.7650000000003</v>
      </c>
      <c r="F9" s="33">
        <v>-9466.5249999999996</v>
      </c>
      <c r="G9" s="33">
        <v>-11644.614</v>
      </c>
      <c r="H9" s="33">
        <v>-8497.8529999999992</v>
      </c>
      <c r="I9" s="33">
        <v>-6281.2169999999996</v>
      </c>
      <c r="J9" s="33">
        <v>-8494.1550000000007</v>
      </c>
      <c r="K9" s="33">
        <v>-7191.951</v>
      </c>
      <c r="L9" s="33">
        <v>-8364.7690000000002</v>
      </c>
    </row>
    <row r="10" spans="1:12" x14ac:dyDescent="0.3">
      <c r="B10" t="s">
        <v>85</v>
      </c>
      <c r="C10" s="7">
        <f>SUM(C6:C9)</f>
        <v>-763.92399999999998</v>
      </c>
      <c r="D10" s="7">
        <f>SUM(D6:D9)</f>
        <v>-3822.7260000000001</v>
      </c>
      <c r="E10" s="7">
        <f t="shared" ref="E10:L10" si="1">SUM(E6:E9)</f>
        <v>-9051.7170000000006</v>
      </c>
      <c r="F10" s="7">
        <f t="shared" si="1"/>
        <v>-14461.162</v>
      </c>
      <c r="G10" s="7">
        <f t="shared" si="1"/>
        <v>-16043.191999999999</v>
      </c>
      <c r="H10" s="7">
        <f t="shared" si="1"/>
        <v>-5747.1149999999989</v>
      </c>
      <c r="I10" s="7">
        <f t="shared" si="1"/>
        <v>1139.3779999999924</v>
      </c>
      <c r="J10" s="7">
        <f t="shared" si="1"/>
        <v>6123.4750000000022</v>
      </c>
      <c r="K10" s="7">
        <f t="shared" si="1"/>
        <v>13538.870999999988</v>
      </c>
      <c r="L10" s="7">
        <f t="shared" si="1"/>
        <v>12508.086999999992</v>
      </c>
    </row>
    <row r="11" spans="1:12" x14ac:dyDescent="0.3">
      <c r="C11" s="7"/>
      <c r="D11" s="7"/>
      <c r="E11" s="7"/>
      <c r="F11" s="7"/>
      <c r="G11" s="7"/>
      <c r="H11" s="7"/>
    </row>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135"/>
  <sheetViews>
    <sheetView workbookViewId="0">
      <pane xSplit="2" ySplit="2" topLeftCell="C3" activePane="bottomRight" state="frozen"/>
      <selection pane="topRight"/>
      <selection pane="bottomLeft"/>
      <selection pane="bottomRight" activeCell="E9" sqref="E9"/>
    </sheetView>
  </sheetViews>
  <sheetFormatPr defaultColWidth="8.77734375" defaultRowHeight="14.4" x14ac:dyDescent="0.3"/>
  <cols>
    <col min="1" max="1" width="18.77734375" customWidth="1"/>
    <col min="2" max="11" width="8.77734375" customWidth="1"/>
  </cols>
  <sheetData>
    <row r="1" spans="1:21" ht="18" x14ac:dyDescent="0.35">
      <c r="A1" s="10" t="s">
        <v>56</v>
      </c>
    </row>
    <row r="2" spans="1:21" x14ac:dyDescent="0.3">
      <c r="B2" s="47" t="s">
        <v>21</v>
      </c>
      <c r="C2">
        <v>1</v>
      </c>
      <c r="D2">
        <v>2</v>
      </c>
      <c r="E2">
        <v>3</v>
      </c>
      <c r="F2">
        <v>4</v>
      </c>
      <c r="G2">
        <v>5</v>
      </c>
      <c r="H2">
        <v>6</v>
      </c>
      <c r="I2">
        <v>7</v>
      </c>
      <c r="J2">
        <v>8</v>
      </c>
      <c r="K2">
        <v>9</v>
      </c>
    </row>
    <row r="3" spans="1:21" x14ac:dyDescent="0.3">
      <c r="A3" t="s">
        <v>22</v>
      </c>
      <c r="B3" s="47">
        <v>2003</v>
      </c>
      <c r="C3" s="21"/>
      <c r="D3" s="18">
        <f>('Exh 5 Stores IS'!G4/'Exh 5 Stores IS'!F4)/(1+HLOOKUP($B3+D$2,'Exh 2 Econ Indicators'!$B$2:$S$8,7,FALSE))-1</f>
        <v>0.73576593206719565</v>
      </c>
      <c r="E3" s="18">
        <f>('Exh 5 Stores IS'!H4/'Exh 5 Stores IS'!G4)/(1+HLOOKUP($B3+E$2,'Exh 2 Econ Indicators'!$B$2:$S$8,7,FALSE))-1</f>
        <v>0.34605432692126037</v>
      </c>
      <c r="F3" s="18">
        <f>('Exh 5 Stores IS'!I4/'Exh 5 Stores IS'!H4)/(1+HLOOKUP($B3+F$2,'Exh 2 Econ Indicators'!$B$2:$S$8,7,FALSE))-1</f>
        <v>0.19454881809221036</v>
      </c>
      <c r="G3" s="18">
        <f>('Exh 5 Stores IS'!J4/'Exh 5 Stores IS'!I4)/(1+HLOOKUP($B3+G$2,'Exh 2 Econ Indicators'!$B$2:$S$8,7,FALSE))-1</f>
        <v>0.15137411879793339</v>
      </c>
      <c r="H3" s="18">
        <f>('Exh 5 Stores IS'!K4/'Exh 5 Stores IS'!J4)/(1+HLOOKUP($B3+H$2,'Exh 2 Econ Indicators'!$B$2:$S$8,7,FALSE))-1</f>
        <v>1.6527639507102343E-3</v>
      </c>
      <c r="I3" s="18">
        <f>('Exh 5 Stores IS'!L4/'Exh 5 Stores IS'!K4)/(1+HLOOKUP($B3+I$2,'Exh 2 Econ Indicators'!$B$2:$S$8,7,FALSE))-1</f>
        <v>1.1993916106581182E-2</v>
      </c>
      <c r="J3" s="18">
        <f>('Exh 5 Stores IS'!M4/'Exh 5 Stores IS'!L4)/(1+HLOOKUP($B3+J$2,'Exh 2 Econ Indicators'!$B$2:$S$8,7,FALSE))-1</f>
        <v>9.6339761648136513E-3</v>
      </c>
      <c r="K3" s="18">
        <f>('Exh 5 Stores IS'!N4/'Exh 5 Stores IS'!M4)/(1+HLOOKUP($B3+K$2,'Exh 2 Econ Indicators'!$B$2:$S$8,7,FALSE))-1</f>
        <v>-6.031350370819144E-3</v>
      </c>
      <c r="L3" s="18"/>
      <c r="M3" s="27"/>
      <c r="N3" s="6"/>
      <c r="O3" s="6"/>
      <c r="P3" s="6"/>
      <c r="Q3" s="6"/>
      <c r="R3" s="6"/>
      <c r="S3" s="6"/>
      <c r="T3" s="6"/>
      <c r="U3" s="6"/>
    </row>
    <row r="4" spans="1:21" x14ac:dyDescent="0.3">
      <c r="B4" s="47">
        <v>2004</v>
      </c>
      <c r="D4" s="23">
        <f>('Exh 5 Stores IS'!H11/'Exh 5 Stores IS'!G11)/(1+HLOOKUP($B4+D$2,'Exh 2 Econ Indicators'!$B$2:$S$8,7,FALSE))-1</f>
        <v>0.72930965789005753</v>
      </c>
      <c r="E4" s="23">
        <f>('Exh 5 Stores IS'!I11/'Exh 5 Stores IS'!H11)/(1+HLOOKUP($B4+E$2,'Exh 2 Econ Indicators'!$B$2:$S$8,7,FALSE))-1</f>
        <v>0.29198638395839804</v>
      </c>
      <c r="F4" s="23">
        <f>('Exh 5 Stores IS'!J11/'Exh 5 Stores IS'!I11)/(1+HLOOKUP($B4+F$2,'Exh 2 Econ Indicators'!$B$2:$S$8,7,FALSE))-1</f>
        <v>0.21423889597995305</v>
      </c>
      <c r="G4" s="23">
        <f>('Exh 5 Stores IS'!K11/'Exh 5 Stores IS'!J11)/(1+HLOOKUP($B4+G$2,'Exh 2 Econ Indicators'!$B$2:$S$8,7,FALSE))-1</f>
        <v>8.1248229034811326E-2</v>
      </c>
      <c r="H4" s="23">
        <f>('Exh 5 Stores IS'!L11/'Exh 5 Stores IS'!K11)/(1+HLOOKUP($B4+H$2,'Exh 2 Econ Indicators'!$B$2:$S$8,7,FALSE))-1</f>
        <v>3.5653774520969739E-2</v>
      </c>
      <c r="I4" s="23">
        <f>('Exh 5 Stores IS'!M11/'Exh 5 Stores IS'!L11)/(1+HLOOKUP($B4+I$2,'Exh 2 Econ Indicators'!$B$2:$S$8,7,FALSE))-1</f>
        <v>3.4489308000526187E-2</v>
      </c>
      <c r="J4" s="23">
        <f>('Exh 5 Stores IS'!N11/'Exh 5 Stores IS'!M11)/(1+HLOOKUP($B4+J$2,'Exh 2 Econ Indicators'!$B$2:$S$8,7,FALSE))-1</f>
        <v>1.1851307829924274E-4</v>
      </c>
      <c r="L4" s="20"/>
    </row>
    <row r="5" spans="1:21" x14ac:dyDescent="0.3">
      <c r="B5" s="47">
        <v>2005</v>
      </c>
      <c r="D5" s="23">
        <f>('Exh 5 Stores IS'!I18/'Exh 5 Stores IS'!H18)/(1+HLOOKUP($B5+D$2,'Exh 2 Econ Indicators'!$B$2:$S$8,7,FALSE))-1</f>
        <v>0.76595935898385559</v>
      </c>
      <c r="E5" s="23">
        <f>('Exh 5 Stores IS'!J18/'Exh 5 Stores IS'!I18)/(1+HLOOKUP($B5+E$2,'Exh 2 Econ Indicators'!$B$2:$S$8,7,FALSE))-1</f>
        <v>0.32642724377869792</v>
      </c>
      <c r="F5" s="23">
        <f>('Exh 5 Stores IS'!K18/'Exh 5 Stores IS'!J18)/(1+HLOOKUP($B5+F$2,'Exh 2 Econ Indicators'!$B$2:$S$8,7,FALSE))-1</f>
        <v>0.22217571417212767</v>
      </c>
      <c r="G5" s="23">
        <f>('Exh 5 Stores IS'!L18/'Exh 5 Stores IS'!K18)/(1+HLOOKUP($B5+G$2,'Exh 2 Econ Indicators'!$B$2:$S$8,7,FALSE))-1</f>
        <v>7.7649860061681952E-2</v>
      </c>
      <c r="H5" s="23">
        <f>('Exh 5 Stores IS'!M18/'Exh 5 Stores IS'!L18)/(1+HLOOKUP($B5+H$2,'Exh 2 Econ Indicators'!$B$2:$S$8,7,FALSE))-1</f>
        <v>3.7170124544198879E-2</v>
      </c>
      <c r="I5" s="23">
        <f>('Exh 5 Stores IS'!N18/'Exh 5 Stores IS'!M18)/(1+HLOOKUP($B5+I$2,'Exh 2 Econ Indicators'!$B$2:$S$8,7,FALSE))-1</f>
        <v>-3.0963668213674134E-2</v>
      </c>
      <c r="L5" s="20"/>
    </row>
    <row r="6" spans="1:21" x14ac:dyDescent="0.3">
      <c r="B6" s="47">
        <v>2006</v>
      </c>
      <c r="C6" s="22"/>
      <c r="D6" s="23">
        <f>('Exh 5 Stores IS'!J25/'Exh 5 Stores IS'!I25)/(1+HLOOKUP($B6+D$2,'Exh 2 Econ Indicators'!$B$2:$S$8,7,FALSE))-1</f>
        <v>0.73755703710613796</v>
      </c>
      <c r="E6" s="23">
        <f>('Exh 5 Stores IS'!K25/'Exh 5 Stores IS'!J25)/(1+HLOOKUP($B6+E$2,'Exh 2 Econ Indicators'!$B$2:$S$8,7,FALSE))-1</f>
        <v>0.28795736986360754</v>
      </c>
      <c r="F6" s="23">
        <f>('Exh 5 Stores IS'!L25/'Exh 5 Stores IS'!K25)/(1+HLOOKUP($B6+F$2,'Exh 2 Econ Indicators'!$B$2:$S$8,7,FALSE))-1</f>
        <v>0.24410509595769736</v>
      </c>
      <c r="G6" s="23">
        <f>('Exh 5 Stores IS'!M25/'Exh 5 Stores IS'!L25)/(1+HLOOKUP($B6+G$2,'Exh 2 Econ Indicators'!$B$2:$S$8,7,FALSE))-1</f>
        <v>0.11281244332153828</v>
      </c>
      <c r="H6" s="23">
        <f>('Exh 5 Stores IS'!N25/'Exh 5 Stores IS'!M25)/(1+HLOOKUP($B6+H$2,'Exh 2 Econ Indicators'!$B$2:$S$8,7,FALSE))-1</f>
        <v>-1.2501962221326379E-2</v>
      </c>
      <c r="I6" s="23"/>
      <c r="L6" s="20"/>
    </row>
    <row r="7" spans="1:21" x14ac:dyDescent="0.3">
      <c r="B7" s="47">
        <v>2007</v>
      </c>
      <c r="D7" s="23">
        <f>('Exh 5 Stores IS'!K32/'Exh 5 Stores IS'!J32)/(1+HLOOKUP($B7+D$2,'Exh 2 Econ Indicators'!$B$2:$S$8,7,FALSE))-1</f>
        <v>0.64512903258765708</v>
      </c>
      <c r="E7" s="23">
        <f>('Exh 5 Stores IS'!L32/'Exh 5 Stores IS'!K32)/(1+HLOOKUP($B7+E$2,'Exh 2 Econ Indicators'!$B$2:$S$8,7,FALSE))-1</f>
        <v>0.36841098397463479</v>
      </c>
      <c r="F7" s="23">
        <f>('Exh 5 Stores IS'!M32/'Exh 5 Stores IS'!L32)/(1+HLOOKUP($B7+F$2,'Exh 2 Econ Indicators'!$B$2:$S$8,7,FALSE))-1</f>
        <v>0.26059234254348174</v>
      </c>
      <c r="G7" s="23">
        <f>('Exh 5 Stores IS'!N32/'Exh 5 Stores IS'!M32)/(1+HLOOKUP($B7+G$2,'Exh 2 Econ Indicators'!$B$2:$S$8,7,FALSE))-1</f>
        <v>6.2609059525504218E-2</v>
      </c>
      <c r="H7" s="23"/>
      <c r="I7" s="23"/>
      <c r="L7" s="20"/>
    </row>
    <row r="8" spans="1:21" x14ac:dyDescent="0.3">
      <c r="B8" s="47">
        <v>2008</v>
      </c>
      <c r="D8" s="23">
        <f>('Exh 5 Stores IS'!L39/'Exh 5 Stores IS'!K39)/(1+HLOOKUP($B8+D$2,'Exh 2 Econ Indicators'!$B$2:$S$8,7,FALSE))-1</f>
        <v>0.60488359465506125</v>
      </c>
      <c r="E8" s="23">
        <f>('Exh 5 Stores IS'!M39/'Exh 5 Stores IS'!L39)/(1+HLOOKUP($B8+E$2,'Exh 2 Econ Indicators'!$B$2:$S$8,7,FALSE))-1</f>
        <v>0.35635852048097916</v>
      </c>
      <c r="F8" s="23">
        <f>('Exh 5 Stores IS'!N39/'Exh 5 Stores IS'!M39)/(1+HLOOKUP($B8+F$2,'Exh 2 Econ Indicators'!$B$2:$S$8,7,FALSE))-1</f>
        <v>0.23587535265475967</v>
      </c>
      <c r="G8" s="23"/>
      <c r="H8" s="23"/>
      <c r="I8" s="23"/>
      <c r="L8" s="20"/>
      <c r="P8" s="20"/>
    </row>
    <row r="9" spans="1:21" x14ac:dyDescent="0.3">
      <c r="B9" s="47">
        <v>2009</v>
      </c>
      <c r="D9" s="23">
        <f>('Exh 5 Stores IS'!M46/'Exh 5 Stores IS'!L46)/(1+HLOOKUP($B9+D$2,'Exh 2 Econ Indicators'!$B$2:$S$8,7,FALSE))-1</f>
        <v>0.69042407518515669</v>
      </c>
      <c r="E9" s="23">
        <f>('Exh 5 Stores IS'!N46/'Exh 5 Stores IS'!M46)/(1+HLOOKUP($B9+E$2,'Exh 2 Econ Indicators'!$B$2:$S$8,7,FALSE))-1</f>
        <v>0.36554498672450042</v>
      </c>
      <c r="F9" s="23"/>
      <c r="G9" s="23"/>
      <c r="H9" s="23"/>
      <c r="I9" s="23"/>
    </row>
    <row r="10" spans="1:21" x14ac:dyDescent="0.3">
      <c r="B10" s="47">
        <v>2010</v>
      </c>
      <c r="D10" s="18">
        <f>('Exh 5 Stores IS'!N53/'Exh 5 Stores IS'!M53)/(1+HLOOKUP($B10+D$2,'Exh 2 Econ Indicators'!$B$2:$S$8,7,FALSE))-1</f>
        <v>0.70420099693829052</v>
      </c>
      <c r="E10" s="23"/>
      <c r="F10" s="23"/>
      <c r="G10" s="23"/>
      <c r="H10" s="23"/>
      <c r="I10" s="23"/>
    </row>
    <row r="11" spans="1:21" x14ac:dyDescent="0.3">
      <c r="B11" s="63">
        <v>2011</v>
      </c>
      <c r="C11" s="4"/>
      <c r="D11" s="69"/>
      <c r="E11" s="69"/>
      <c r="F11" s="69"/>
      <c r="G11" s="69"/>
      <c r="H11" s="69"/>
      <c r="I11" s="69"/>
      <c r="K11" s="27"/>
    </row>
    <row r="12" spans="1:21" x14ac:dyDescent="0.3">
      <c r="B12" s="47" t="s">
        <v>3</v>
      </c>
      <c r="D12" s="6">
        <f>AVERAGE(D3:D11)</f>
        <v>0.70165371067667659</v>
      </c>
      <c r="E12" s="6">
        <f>AVERAGE(E3:E11)</f>
        <v>0.33467711652886833</v>
      </c>
      <c r="F12" s="6">
        <f t="shared" ref="F12:H12" si="0">AVERAGE(F3:F11)</f>
        <v>0.22858936990003831</v>
      </c>
      <c r="G12" s="6">
        <f t="shared" si="0"/>
        <v>9.7138742148293836E-2</v>
      </c>
      <c r="H12" s="6">
        <f t="shared" si="0"/>
        <v>1.5493675198638118E-2</v>
      </c>
      <c r="I12" s="6">
        <f>AVERAGE(I3:K11)</f>
        <v>3.2067824609544973E-3</v>
      </c>
      <c r="P12" s="31"/>
    </row>
    <row r="13" spans="1:21" x14ac:dyDescent="0.3">
      <c r="B13" s="47"/>
      <c r="C13" s="19"/>
      <c r="D13" s="6"/>
      <c r="E13" s="6"/>
      <c r="F13" s="6"/>
      <c r="G13" s="6"/>
      <c r="H13" s="6"/>
      <c r="I13" s="6"/>
      <c r="P13" s="31"/>
    </row>
    <row r="14" spans="1:21" x14ac:dyDescent="0.3">
      <c r="B14" s="63" t="s">
        <v>21</v>
      </c>
      <c r="C14" s="4">
        <v>1</v>
      </c>
      <c r="D14" s="4">
        <v>2</v>
      </c>
      <c r="E14" s="4">
        <v>3</v>
      </c>
      <c r="F14" s="4">
        <v>4</v>
      </c>
      <c r="G14" s="4">
        <v>5</v>
      </c>
      <c r="H14" s="4">
        <v>6</v>
      </c>
      <c r="I14" s="4">
        <v>7</v>
      </c>
      <c r="J14" s="4">
        <v>8</v>
      </c>
      <c r="K14" s="4">
        <v>9</v>
      </c>
    </row>
    <row r="15" spans="1:21" x14ac:dyDescent="0.3">
      <c r="A15" t="s">
        <v>1</v>
      </c>
      <c r="B15" s="47">
        <v>2003</v>
      </c>
      <c r="C15" s="6">
        <f>'Exh 5 Stores IS'!F5/'Exh 5 Stores IS'!F4</f>
        <v>0.71135424264527114</v>
      </c>
      <c r="D15" s="6">
        <f>'Exh 5 Stores IS'!G5/'Exh 5 Stores IS'!G4</f>
        <v>0.61505061267980821</v>
      </c>
      <c r="E15" s="6">
        <f>'Exh 5 Stores IS'!H5/'Exh 5 Stores IS'!H4</f>
        <v>0.57783095625538439</v>
      </c>
      <c r="F15" s="6">
        <f>'Exh 5 Stores IS'!I5/'Exh 5 Stores IS'!I4</f>
        <v>0.38933619609948111</v>
      </c>
      <c r="G15" s="6">
        <f>'Exh 5 Stores IS'!J5/'Exh 5 Stores IS'!J4</f>
        <v>0.43420596120485733</v>
      </c>
      <c r="H15" s="6">
        <f>'Exh 5 Stores IS'!K5/'Exh 5 Stores IS'!K4</f>
        <v>0.41998909685626018</v>
      </c>
      <c r="I15" s="6">
        <f>'Exh 5 Stores IS'!L5/'Exh 5 Stores IS'!L4</f>
        <v>0.38933546269186409</v>
      </c>
      <c r="J15" s="6">
        <f>'Exh 5 Stores IS'!M5/'Exh 5 Stores IS'!M4</f>
        <v>0.36615568046329411</v>
      </c>
      <c r="K15" s="6">
        <f>'Exh 5 Stores IS'!N5/'Exh 5 Stores IS'!N4</f>
        <v>0.40039774610540274</v>
      </c>
    </row>
    <row r="16" spans="1:21" x14ac:dyDescent="0.3">
      <c r="B16" s="47">
        <v>2004</v>
      </c>
      <c r="C16" s="6">
        <f>'Exh 5 Stores IS'!G12/'Exh 5 Stores IS'!G11</f>
        <v>0.71277585948055855</v>
      </c>
      <c r="D16" s="6">
        <f>'Exh 5 Stores IS'!H12/'Exh 5 Stores IS'!H11</f>
        <v>0.62378856845323072</v>
      </c>
      <c r="E16" s="6">
        <f>'Exh 5 Stores IS'!I12/'Exh 5 Stores IS'!I11</f>
        <v>0.5207681853567141</v>
      </c>
      <c r="F16" s="6">
        <f>'Exh 5 Stores IS'!J12/'Exh 5 Stores IS'!J11</f>
        <v>0.43768309325246402</v>
      </c>
      <c r="G16" s="6">
        <f>'Exh 5 Stores IS'!K12/'Exh 5 Stores IS'!K11</f>
        <v>0.39049308540943695</v>
      </c>
      <c r="H16" s="6">
        <f>'Exh 5 Stores IS'!L12/'Exh 5 Stores IS'!L11</f>
        <v>0.41236030715437411</v>
      </c>
      <c r="I16" s="6">
        <f>'Exh 5 Stores IS'!M12/'Exh 5 Stores IS'!M11</f>
        <v>0.38724108594875828</v>
      </c>
      <c r="J16" s="6">
        <f>'Exh 5 Stores IS'!N12/'Exh 5 Stores IS'!N11</f>
        <v>0.40159498558916529</v>
      </c>
      <c r="K16" s="6"/>
    </row>
    <row r="17" spans="1:11" x14ac:dyDescent="0.3">
      <c r="B17" s="47">
        <v>2005</v>
      </c>
      <c r="C17" s="6">
        <f>'Exh 5 Stores IS'!H19/'Exh 5 Stores IS'!H18</f>
        <v>0.72915556391527425</v>
      </c>
      <c r="D17" s="18">
        <f>'Exh 5 Stores IS'!I19/'Exh 5 Stores IS'!I18</f>
        <v>0.65562428682961982</v>
      </c>
      <c r="E17" s="18">
        <f>'Exh 5 Stores IS'!J19/'Exh 5 Stores IS'!J18</f>
        <v>0.57771757534710477</v>
      </c>
      <c r="F17" s="18">
        <f>'Exh 5 Stores IS'!K19/'Exh 5 Stores IS'!K18</f>
        <v>0.4056733458707627</v>
      </c>
      <c r="G17" s="18">
        <f>'Exh 5 Stores IS'!L19/'Exh 5 Stores IS'!L18</f>
        <v>0.41087670153630668</v>
      </c>
      <c r="H17" s="18">
        <f>'Exh 5 Stores IS'!M19/'Exh 5 Stores IS'!M18</f>
        <v>0.40312626529084816</v>
      </c>
      <c r="I17" s="18">
        <f>'Exh 5 Stores IS'!N19/'Exh 5 Stores IS'!N18</f>
        <v>0.36906209947998719</v>
      </c>
      <c r="J17" s="18"/>
      <c r="K17" s="18"/>
    </row>
    <row r="18" spans="1:11" x14ac:dyDescent="0.3">
      <c r="B18" s="47">
        <v>2006</v>
      </c>
      <c r="C18" s="6">
        <f>'Exh 5 Stores IS'!I26/'Exh 5 Stores IS'!I25</f>
        <v>0.7013303491890539</v>
      </c>
      <c r="D18" s="6">
        <f>'Exh 5 Stores IS'!J26/'Exh 5 Stores IS'!J25</f>
        <v>0.53114180304606939</v>
      </c>
      <c r="E18" s="6">
        <f>'Exh 5 Stores IS'!K26/'Exh 5 Stores IS'!K25</f>
        <v>0.57621946050423012</v>
      </c>
      <c r="F18" s="6">
        <f>'Exh 5 Stores IS'!L26/'Exh 5 Stores IS'!L25</f>
        <v>0.33338944646638763</v>
      </c>
      <c r="G18" s="6">
        <f>'Exh 5 Stores IS'!M26/'Exh 5 Stores IS'!M25</f>
        <v>0.38876655534477045</v>
      </c>
      <c r="H18" s="6">
        <f>'Exh 5 Stores IS'!N26/'Exh 5 Stores IS'!N25</f>
        <v>0.40006317482196185</v>
      </c>
      <c r="I18" s="6"/>
    </row>
    <row r="19" spans="1:11" x14ac:dyDescent="0.3">
      <c r="B19" s="47">
        <v>2007</v>
      </c>
      <c r="C19" s="6">
        <f>'Exh 5 Stores IS'!J33/'Exh 5 Stores IS'!J32</f>
        <v>0.72590279487412057</v>
      </c>
      <c r="D19" s="6">
        <f>'Exh 5 Stores IS'!K33/'Exh 5 Stores IS'!K32</f>
        <v>0.67271942184446165</v>
      </c>
      <c r="E19" s="6">
        <f>'Exh 5 Stores IS'!L33/'Exh 5 Stores IS'!L32</f>
        <v>0.53901903439583276</v>
      </c>
      <c r="F19" s="6">
        <f>'Exh 5 Stores IS'!M33/'Exh 5 Stores IS'!M32</f>
        <v>0.38436265083955368</v>
      </c>
      <c r="G19" s="6">
        <f>'Exh 5 Stores IS'!N33/'Exh 5 Stores IS'!N32</f>
        <v>0.41009163776670265</v>
      </c>
      <c r="H19" s="6"/>
      <c r="I19" s="6"/>
    </row>
    <row r="20" spans="1:11" x14ac:dyDescent="0.3">
      <c r="B20" s="47">
        <v>2008</v>
      </c>
      <c r="C20" s="6">
        <f>'Exh 5 Stores IS'!K40/'Exh 5 Stores IS'!K39</f>
        <v>0.64425339650465951</v>
      </c>
      <c r="D20" s="6">
        <f>'Exh 5 Stores IS'!L40/'Exh 5 Stores IS'!L39</f>
        <v>0.66976429675425031</v>
      </c>
      <c r="E20" s="6">
        <f>'Exh 5 Stores IS'!M40/'Exh 5 Stores IS'!M39</f>
        <v>0.61022073135379129</v>
      </c>
      <c r="F20" s="6">
        <f>'Exh 5 Stores IS'!N40/'Exh 5 Stores IS'!N39</f>
        <v>0.40661323078252598</v>
      </c>
      <c r="G20" s="6"/>
      <c r="H20" s="6"/>
      <c r="I20" s="6"/>
    </row>
    <row r="21" spans="1:11" x14ac:dyDescent="0.3">
      <c r="B21" s="47">
        <v>2009</v>
      </c>
      <c r="C21" s="6">
        <f>'Exh 5 Stores IS'!L47/'Exh 5 Stores IS'!L46</f>
        <v>0.71003200222624174</v>
      </c>
      <c r="D21" s="6">
        <f>'Exh 5 Stores IS'!M47/'Exh 5 Stores IS'!M46</f>
        <v>0.65890236119974477</v>
      </c>
      <c r="E21" s="6">
        <f>'Exh 5 Stores IS'!N47/'Exh 5 Stores IS'!N46</f>
        <v>0.53303578994943646</v>
      </c>
      <c r="F21" s="6"/>
      <c r="G21" s="6"/>
      <c r="H21" s="6"/>
      <c r="I21" s="6"/>
    </row>
    <row r="22" spans="1:11" x14ac:dyDescent="0.3">
      <c r="B22" s="47">
        <v>2010</v>
      </c>
      <c r="C22" s="6">
        <f>'Exh 5 Stores IS'!M54/'Exh 5 Stores IS'!M53</f>
        <v>0.74010040895036078</v>
      </c>
      <c r="D22" s="6">
        <f>'Exh 5 Stores IS'!N54/'Exh 5 Stores IS'!N53</f>
        <v>0.66520754716981134</v>
      </c>
      <c r="E22" s="6"/>
      <c r="F22" s="6"/>
      <c r="G22" s="6"/>
      <c r="H22" s="6"/>
      <c r="I22" s="6"/>
    </row>
    <row r="23" spans="1:11" x14ac:dyDescent="0.3">
      <c r="B23" s="63">
        <v>2011</v>
      </c>
      <c r="C23" s="66">
        <f>'Exh 5 Stores IS'!N61/'Exh 5 Stores IS'!N60</f>
        <v>0.70283567403166658</v>
      </c>
      <c r="D23" s="66"/>
      <c r="E23" s="66"/>
      <c r="F23" s="66"/>
      <c r="G23" s="6"/>
      <c r="H23" s="6"/>
      <c r="I23" s="6"/>
    </row>
    <row r="24" spans="1:11" x14ac:dyDescent="0.3">
      <c r="B24" s="47" t="s">
        <v>3</v>
      </c>
      <c r="C24" s="6">
        <f t="shared" ref="C24:E24" si="1">AVERAGE(C15:C23)</f>
        <v>0.70863781020191174</v>
      </c>
      <c r="D24" s="6">
        <f t="shared" si="1"/>
        <v>0.63652486224712457</v>
      </c>
      <c r="E24" s="6">
        <f t="shared" si="1"/>
        <v>0.56211596188035629</v>
      </c>
      <c r="F24" s="6">
        <f>AVERAGE(F15:K23)</f>
        <v>0.39718180042738882</v>
      </c>
      <c r="G24" s="6"/>
      <c r="H24" s="6"/>
      <c r="I24" s="6"/>
    </row>
    <row r="25" spans="1:11" x14ac:dyDescent="0.3">
      <c r="B25" s="47"/>
      <c r="C25" s="6"/>
      <c r="D25" s="6"/>
      <c r="E25" s="6"/>
      <c r="F25" s="6"/>
      <c r="G25" s="6"/>
      <c r="H25" s="6"/>
      <c r="I25" s="6"/>
    </row>
    <row r="26" spans="1:11" x14ac:dyDescent="0.3">
      <c r="B26" s="63" t="s">
        <v>21</v>
      </c>
      <c r="C26" s="4">
        <v>1</v>
      </c>
      <c r="D26" s="4">
        <v>2</v>
      </c>
      <c r="E26" s="4">
        <v>3</v>
      </c>
      <c r="F26" s="4">
        <v>4</v>
      </c>
      <c r="G26" s="4">
        <v>5</v>
      </c>
      <c r="H26" s="4">
        <v>6</v>
      </c>
      <c r="I26" s="4">
        <v>7</v>
      </c>
      <c r="J26" s="4">
        <v>8</v>
      </c>
      <c r="K26" s="4">
        <v>9</v>
      </c>
    </row>
    <row r="27" spans="1:11" x14ac:dyDescent="0.3">
      <c r="A27" t="s">
        <v>17</v>
      </c>
      <c r="B27" s="47">
        <v>2003</v>
      </c>
      <c r="C27" s="26">
        <f>'Exh 5 Stores IS'!F6/'Exh 5 Stores IS'!F4</f>
        <v>0.19912472647702406</v>
      </c>
      <c r="D27" s="26">
        <f>'Exh 5 Stores IS'!G6/'Exh 5 Stores IS'!G4</f>
        <v>0.17053809270111883</v>
      </c>
      <c r="E27" s="26">
        <f>'Exh 5 Stores IS'!H6/'Exh 5 Stores IS'!H4</f>
        <v>0.16400880635589166</v>
      </c>
      <c r="F27" s="26">
        <f>'Exh 5 Stores IS'!I6/'Exh 5 Stores IS'!I4</f>
        <v>0.13915320678605703</v>
      </c>
      <c r="G27" s="26">
        <f>'Exh 5 Stores IS'!J6/'Exh 5 Stores IS'!J4</f>
        <v>0.12854439362876519</v>
      </c>
      <c r="H27" s="26">
        <f>'Exh 5 Stores IS'!K6/'Exh 5 Stores IS'!K4</f>
        <v>0.13903325458840632</v>
      </c>
      <c r="I27" s="26">
        <f>'Exh 5 Stores IS'!L6/'Exh 5 Stores IS'!L4</f>
        <v>0.13606601011445302</v>
      </c>
      <c r="J27" s="26">
        <f>'Exh 5 Stores IS'!M6/'Exh 5 Stores IS'!M4</f>
        <v>0.11694770907852155</v>
      </c>
      <c r="K27" s="26">
        <f>'Exh 5 Stores IS'!N6/'Exh 5 Stores IS'!N4</f>
        <v>0.13109048723897912</v>
      </c>
    </row>
    <row r="28" spans="1:11" x14ac:dyDescent="0.3">
      <c r="B28" s="47">
        <v>2004</v>
      </c>
      <c r="C28" s="27">
        <f>'Exh 5 Stores IS'!G13/'Exh 5 Stores IS'!G11</f>
        <v>0.17584446779762797</v>
      </c>
      <c r="D28" s="27">
        <f>'Exh 5 Stores IS'!H13/'Exh 5 Stores IS'!H11</f>
        <v>0.18036683071031459</v>
      </c>
      <c r="E28" s="27">
        <f>'Exh 5 Stores IS'!I13/'Exh 5 Stores IS'!I11</f>
        <v>0.17360039055799656</v>
      </c>
      <c r="F28" s="27">
        <f>'Exh 5 Stores IS'!J13/'Exh 5 Stores IS'!J11</f>
        <v>0.1409188779378317</v>
      </c>
      <c r="G28" s="27">
        <f>'Exh 5 Stores IS'!K13/'Exh 5 Stores IS'!K11</f>
        <v>0.14493447972238047</v>
      </c>
      <c r="H28" s="27">
        <f>'Exh 5 Stores IS'!L13/'Exh 5 Stores IS'!L11</f>
        <v>0.13740401425809121</v>
      </c>
      <c r="I28" s="27">
        <f>'Exh 5 Stores IS'!M13/'Exh 5 Stores IS'!M11</f>
        <v>0.13859099826956575</v>
      </c>
      <c r="J28" s="27">
        <f>'Exh 5 Stores IS'!N13/'Exh 5 Stores IS'!N11</f>
        <v>0.12976466967008982</v>
      </c>
      <c r="K28" s="27"/>
    </row>
    <row r="29" spans="1:11" x14ac:dyDescent="0.3">
      <c r="B29" s="47">
        <v>2005</v>
      </c>
      <c r="C29" s="27">
        <f>'Exh 5 Stores IS'!H20/'Exh 5 Stores IS'!H18</f>
        <v>0.20410253194979988</v>
      </c>
      <c r="D29" s="27">
        <f>'Exh 5 Stores IS'!I20/'Exh 5 Stores IS'!I18</f>
        <v>0.17876403819590414</v>
      </c>
      <c r="E29" s="27">
        <f>'Exh 5 Stores IS'!J20/'Exh 5 Stores IS'!J18</f>
        <v>0.17039084967980955</v>
      </c>
      <c r="F29" s="27">
        <f>'Exh 5 Stores IS'!K20/'Exh 5 Stores IS'!K18</f>
        <v>0.14506505780264051</v>
      </c>
      <c r="G29" s="27">
        <f>'Exh 5 Stores IS'!L20/'Exh 5 Stores IS'!L18</f>
        <v>0.13220991815117958</v>
      </c>
      <c r="H29" s="27">
        <f>'Exh 5 Stores IS'!M20/'Exh 5 Stores IS'!M18</f>
        <v>0.13203603957318544</v>
      </c>
      <c r="I29" s="27">
        <f>'Exh 5 Stores IS'!N20/'Exh 5 Stores IS'!N18</f>
        <v>0.15073838542984724</v>
      </c>
    </row>
    <row r="30" spans="1:11" x14ac:dyDescent="0.3">
      <c r="B30" s="47">
        <v>2006</v>
      </c>
      <c r="C30" s="26">
        <f>'Exh 5 Stores IS'!I27/'Exh 5 Stores IS'!I25</f>
        <v>0.20368257146853763</v>
      </c>
      <c r="D30" s="26">
        <f>'Exh 5 Stores IS'!J27/'Exh 5 Stores IS'!J25</f>
        <v>0.18996783653391355</v>
      </c>
      <c r="E30" s="26">
        <f>'Exh 5 Stores IS'!K27/'Exh 5 Stores IS'!K25</f>
        <v>0.17957053966531594</v>
      </c>
      <c r="F30" s="26">
        <f>'Exh 5 Stores IS'!L27/'Exh 5 Stores IS'!L25</f>
        <v>0.12726795255522372</v>
      </c>
      <c r="G30" s="27">
        <f>'Exh 5 Stores IS'!M27/'Exh 5 Stores IS'!M25</f>
        <v>0.14352901161989484</v>
      </c>
      <c r="H30" s="27">
        <f>'Exh 5 Stores IS'!N27/'Exh 5 Stores IS'!N25</f>
        <v>0.14203710084998852</v>
      </c>
      <c r="I30" s="27"/>
    </row>
    <row r="31" spans="1:11" x14ac:dyDescent="0.3">
      <c r="B31" s="47">
        <v>2007</v>
      </c>
      <c r="C31" s="27">
        <f>'Exh 5 Stores IS'!J34/'Exh 5 Stores IS'!J32</f>
        <v>0.19762364435000065</v>
      </c>
      <c r="D31" s="27">
        <f>'Exh 5 Stores IS'!K34/'Exh 5 Stores IS'!K32</f>
        <v>0.17625562474432982</v>
      </c>
      <c r="E31" s="27">
        <f>'Exh 5 Stores IS'!L34/'Exh 5 Stores IS'!L32</f>
        <v>0.17957782307432243</v>
      </c>
      <c r="F31" s="27">
        <f>'Exh 5 Stores IS'!M34/'Exh 5 Stores IS'!M32</f>
        <v>0.13035414174754342</v>
      </c>
      <c r="G31" s="27">
        <f>'Exh 5 Stores IS'!N34/'Exh 5 Stores IS'!N32</f>
        <v>0.13589260696814495</v>
      </c>
      <c r="H31" s="27"/>
      <c r="I31" s="27"/>
    </row>
    <row r="32" spans="1:11" x14ac:dyDescent="0.3">
      <c r="B32" s="47">
        <v>2008</v>
      </c>
      <c r="C32" s="27">
        <f>'Exh 5 Stores IS'!K41/'Exh 5 Stores IS'!K39</f>
        <v>0.16375388284019954</v>
      </c>
      <c r="D32" s="27">
        <f>'Exh 5 Stores IS'!L41/'Exh 5 Stores IS'!L39</f>
        <v>0.18379057187017001</v>
      </c>
      <c r="E32" s="27">
        <f>'Exh 5 Stores IS'!M41/'Exh 5 Stores IS'!M39</f>
        <v>0.16904791485484738</v>
      </c>
      <c r="F32" s="27">
        <f>'Exh 5 Stores IS'!N41/'Exh 5 Stores IS'!N39</f>
        <v>0.13424145529965864</v>
      </c>
      <c r="G32" s="26"/>
      <c r="H32" s="26"/>
      <c r="I32" s="26"/>
    </row>
    <row r="33" spans="1:11" x14ac:dyDescent="0.3">
      <c r="B33" s="47">
        <v>2009</v>
      </c>
      <c r="C33" s="26">
        <f>'Exh 5 Stores IS'!L48/'Exh 5 Stores IS'!L46</f>
        <v>0.17872547655489074</v>
      </c>
      <c r="D33" s="26">
        <f>'Exh 5 Stores IS'!M48/'Exh 5 Stores IS'!M46</f>
        <v>0.19156828334396939</v>
      </c>
      <c r="E33" s="26">
        <f>'Exh 5 Stores IS'!N48/'Exh 5 Stores IS'!N46</f>
        <v>0.17372390610434735</v>
      </c>
      <c r="F33" s="26"/>
      <c r="G33" s="27"/>
      <c r="H33" s="27"/>
      <c r="I33" s="27"/>
    </row>
    <row r="34" spans="1:11" x14ac:dyDescent="0.3">
      <c r="B34" s="47">
        <v>2010</v>
      </c>
      <c r="C34" s="27">
        <f>'Exh 5 Stores IS'!M55/'Exh 5 Stores IS'!M53</f>
        <v>0.20703527612461353</v>
      </c>
      <c r="D34" s="27">
        <f>'Exh 5 Stores IS'!N55/'Exh 5 Stores IS'!N53</f>
        <v>0.19396226415094339</v>
      </c>
      <c r="E34" s="27"/>
      <c r="F34" s="27"/>
      <c r="G34" s="27"/>
      <c r="H34" s="27"/>
      <c r="I34" s="27"/>
    </row>
    <row r="35" spans="1:11" x14ac:dyDescent="0.3">
      <c r="B35" s="63">
        <v>2011</v>
      </c>
      <c r="C35" s="68">
        <f>'Exh 5 Stores IS'!N62/'Exh 5 Stores IS'!N60</f>
        <v>0.20899305244953337</v>
      </c>
      <c r="D35" s="68"/>
      <c r="E35" s="68"/>
      <c r="F35" s="68"/>
      <c r="G35" s="27"/>
      <c r="H35" s="27"/>
      <c r="I35" s="27"/>
    </row>
    <row r="36" spans="1:11" x14ac:dyDescent="0.3">
      <c r="B36" s="47" t="s">
        <v>3</v>
      </c>
      <c r="C36" s="27">
        <f t="shared" ref="C36:E36" si="2">AVERAGE(C27:C35)</f>
        <v>0.19320951444580303</v>
      </c>
      <c r="D36" s="27">
        <f t="shared" si="2"/>
        <v>0.18315169278133295</v>
      </c>
      <c r="E36" s="27">
        <f t="shared" si="2"/>
        <v>0.17284574718464732</v>
      </c>
      <c r="F36" s="27">
        <f>AVERAGE(F27:K35)</f>
        <v>0.13599141768049752</v>
      </c>
      <c r="G36" s="27"/>
      <c r="H36" s="27"/>
      <c r="I36" s="27"/>
    </row>
    <row r="37" spans="1:11" x14ac:dyDescent="0.3">
      <c r="B37" s="47"/>
      <c r="C37" s="27"/>
      <c r="D37" s="27"/>
      <c r="E37" s="27"/>
      <c r="F37" s="27"/>
      <c r="G37" s="27"/>
      <c r="H37" s="27"/>
      <c r="I37" s="27"/>
    </row>
    <row r="38" spans="1:11" x14ac:dyDescent="0.3">
      <c r="B38" s="63" t="s">
        <v>21</v>
      </c>
      <c r="C38" s="4">
        <v>1</v>
      </c>
      <c r="D38" s="4">
        <v>2</v>
      </c>
      <c r="E38" s="4">
        <v>3</v>
      </c>
      <c r="F38" s="4">
        <v>4</v>
      </c>
      <c r="G38" s="4">
        <v>5</v>
      </c>
      <c r="H38" s="4">
        <v>6</v>
      </c>
      <c r="I38" s="4">
        <v>7</v>
      </c>
      <c r="J38" s="4">
        <v>8</v>
      </c>
      <c r="K38" s="4">
        <v>9</v>
      </c>
    </row>
    <row r="39" spans="1:11" x14ac:dyDescent="0.3">
      <c r="A39" t="s">
        <v>52</v>
      </c>
      <c r="B39" s="65">
        <v>2003</v>
      </c>
      <c r="C39" s="26">
        <f>'Exh 5 Stores IS'!F7/'Exh 5 Stores IS'!F4</f>
        <v>9.8905908096280096E-2</v>
      </c>
      <c r="D39" s="26">
        <f>'Exh 5 Stores IS'!G7/'Exh 5 Stores IS'!G4</f>
        <v>8.8998401704848171E-2</v>
      </c>
      <c r="E39" s="26">
        <f>'Exh 5 Stores IS'!H7/'Exh 5 Stores IS'!H4</f>
        <v>7.6442997989853545E-2</v>
      </c>
      <c r="F39" s="26">
        <f>'Exh 5 Stores IS'!I7/'Exh 5 Stores IS'!I4</f>
        <v>7.0609476406577859E-2</v>
      </c>
      <c r="G39" s="26">
        <f>'Exh 5 Stores IS'!J7/'Exh 5 Stores IS'!J4</f>
        <v>6.6535246806497389E-2</v>
      </c>
      <c r="H39" s="26">
        <f>'Exh 5 Stores IS'!K7/'Exh 5 Stores IS'!K4</f>
        <v>7.6848991459204069E-2</v>
      </c>
      <c r="I39" s="26">
        <f>'Exh 5 Stores IS'!L7/'Exh 5 Stores IS'!L4</f>
        <v>6.9381598793363503E-2</v>
      </c>
      <c r="J39" s="26">
        <f>'Exh 5 Stores IS'!M7/'Exh 5 Stores IS'!M4</f>
        <v>6.8335888264350192E-2</v>
      </c>
      <c r="K39" s="26">
        <f>'Exh 5 Stores IS'!N7/'Exh 5 Stores IS'!N4</f>
        <v>7.5737487570434206E-2</v>
      </c>
    </row>
    <row r="40" spans="1:11" x14ac:dyDescent="0.3">
      <c r="B40" s="65">
        <v>2004</v>
      </c>
      <c r="C40" s="27">
        <f>'Exh 5 Stores IS'!G14/'Exh 5 Stores IS'!G11</f>
        <v>0.10277736075664315</v>
      </c>
      <c r="D40" s="27">
        <f>'Exh 5 Stores IS'!H14/'Exh 5 Stores IS'!H11</f>
        <v>8.1512336866150462E-2</v>
      </c>
      <c r="E40" s="27">
        <f>'Exh 5 Stores IS'!I14/'Exh 5 Stores IS'!I11</f>
        <v>8.3494966287983738E-2</v>
      </c>
      <c r="F40" s="27">
        <f>'Exh 5 Stores IS'!J14/'Exh 5 Stores IS'!J11</f>
        <v>7.3570887035633054E-2</v>
      </c>
      <c r="G40" s="27">
        <f>'Exh 5 Stores IS'!K14/'Exh 5 Stores IS'!K11</f>
        <v>7.9958046304449165E-2</v>
      </c>
      <c r="H40" s="27">
        <f>'Exh 5 Stores IS'!L14/'Exh 5 Stores IS'!L11</f>
        <v>7.6665039876940566E-2</v>
      </c>
      <c r="I40" s="27">
        <f>'Exh 5 Stores IS'!M14/'Exh 5 Stores IS'!M11</f>
        <v>7.2053197830880433E-2</v>
      </c>
      <c r="J40" s="27">
        <f>'Exh 5 Stores IS'!N14/'Exh 5 Stores IS'!N11</f>
        <v>7.2026191342306298E-2</v>
      </c>
      <c r="K40" s="27"/>
    </row>
    <row r="41" spans="1:11" x14ac:dyDescent="0.3">
      <c r="B41" s="65">
        <v>2005</v>
      </c>
      <c r="C41" s="27">
        <f>'Exh 5 Stores IS'!H21/'Exh 5 Stores IS'!H18</f>
        <v>0.10877038987638066</v>
      </c>
      <c r="D41" s="27">
        <f>'Exh 5 Stores IS'!I21/'Exh 5 Stores IS'!I18</f>
        <v>8.9339979580805959E-2</v>
      </c>
      <c r="E41" s="27">
        <f>'Exh 5 Stores IS'!J21/'Exh 5 Stores IS'!J18</f>
        <v>8.0221985231310439E-2</v>
      </c>
      <c r="F41" s="27">
        <f>'Exh 5 Stores IS'!K21/'Exh 5 Stores IS'!K18</f>
        <v>7.6274665164720826E-2</v>
      </c>
      <c r="G41" s="27">
        <f>'Exh 5 Stores IS'!L21/'Exh 5 Stores IS'!L18</f>
        <v>7.0267431172582842E-2</v>
      </c>
      <c r="H41" s="27">
        <f>'Exh 5 Stores IS'!M21/'Exh 5 Stores IS'!M18</f>
        <v>6.7277687119901508E-2</v>
      </c>
      <c r="I41" s="27">
        <f>'Exh 5 Stores IS'!N21/'Exh 5 Stores IS'!N18</f>
        <v>7.3201792696964002E-2</v>
      </c>
    </row>
    <row r="42" spans="1:11" x14ac:dyDescent="0.3">
      <c r="B42" s="65">
        <v>2006</v>
      </c>
      <c r="C42" s="26">
        <f>'Exh 5 Stores IS'!I28/'Exh 5 Stores IS'!I25</f>
        <v>0.10308549720604585</v>
      </c>
      <c r="D42" s="26">
        <f>'Exh 5 Stores IS'!J28/'Exh 5 Stores IS'!J25</f>
        <v>8.4386529183615541E-2</v>
      </c>
      <c r="E42" s="26">
        <f>'Exh 5 Stores IS'!K28/'Exh 5 Stores IS'!K25</f>
        <v>8.3238670080195309E-2</v>
      </c>
      <c r="F42" s="26">
        <f>'Exh 5 Stores IS'!L28/'Exh 5 Stores IS'!L25</f>
        <v>6.7800376406896526E-2</v>
      </c>
      <c r="G42" s="26">
        <f>'Exh 5 Stores IS'!M28/'Exh 5 Stores IS'!M25</f>
        <v>6.8238660853298466E-2</v>
      </c>
      <c r="H42" s="26">
        <f>'Exh 5 Stores IS'!N28/'Exh 5 Stores IS'!N25</f>
        <v>6.5681713760624857E-2</v>
      </c>
      <c r="I42" s="26"/>
    </row>
    <row r="43" spans="1:11" x14ac:dyDescent="0.3">
      <c r="B43" s="65">
        <v>2007</v>
      </c>
      <c r="C43" s="27">
        <f>'Exh 5 Stores IS'!J35/'Exh 5 Stores IS'!J32</f>
        <v>0.10225844487347267</v>
      </c>
      <c r="D43" s="27">
        <f>'Exh 5 Stores IS'!K35/'Exh 5 Stores IS'!K32</f>
        <v>9.0282259897277395E-2</v>
      </c>
      <c r="E43" s="27">
        <f>'Exh 5 Stores IS'!L35/'Exh 5 Stores IS'!L32</f>
        <v>8.0693496663482772E-2</v>
      </c>
      <c r="F43" s="27">
        <f>'Exh 5 Stores IS'!M35/'Exh 5 Stores IS'!M32</f>
        <v>6.9344557663482076E-2</v>
      </c>
      <c r="G43" s="27">
        <f>'Exh 5 Stores IS'!N35/'Exh 5 Stores IS'!N32</f>
        <v>7.1413150823361887E-2</v>
      </c>
      <c r="H43" s="27"/>
      <c r="I43" s="27"/>
    </row>
    <row r="44" spans="1:11" x14ac:dyDescent="0.3">
      <c r="B44" s="65">
        <v>2008</v>
      </c>
      <c r="C44" s="27">
        <f>'Exh 5 Stores IS'!K42/'Exh 5 Stores IS'!K39</f>
        <v>0.10228734586301026</v>
      </c>
      <c r="D44" s="27">
        <f>'Exh 5 Stores IS'!L42/'Exh 5 Stores IS'!L39</f>
        <v>9.6406491499227198E-2</v>
      </c>
      <c r="E44" s="27">
        <f>'Exh 5 Stores IS'!M42/'Exh 5 Stores IS'!M39</f>
        <v>8.2605154539556316E-2</v>
      </c>
      <c r="F44" s="27">
        <f>'Exh 5 Stores IS'!N42/'Exh 5 Stores IS'!N39</f>
        <v>7.2959426176381625E-2</v>
      </c>
      <c r="G44" s="27"/>
      <c r="H44" s="27"/>
      <c r="I44" s="27"/>
    </row>
    <row r="45" spans="1:11" x14ac:dyDescent="0.3">
      <c r="B45" s="65">
        <v>2009</v>
      </c>
      <c r="C45" s="26">
        <f>'Exh 5 Stores IS'!L49/'Exh 5 Stores IS'!L46</f>
        <v>0.1099206901349659</v>
      </c>
      <c r="D45" s="26">
        <f>'Exh 5 Stores IS'!M49/'Exh 5 Stores IS'!M46</f>
        <v>9.061901723037652E-2</v>
      </c>
      <c r="E45" s="26">
        <f>'Exh 5 Stores IS'!N49/'Exh 5 Stores IS'!N46</f>
        <v>8.5619050309313299E-2</v>
      </c>
      <c r="F45" s="26"/>
      <c r="G45" s="26"/>
      <c r="H45" s="26"/>
      <c r="I45" s="26"/>
    </row>
    <row r="46" spans="1:11" x14ac:dyDescent="0.3">
      <c r="B46" s="65">
        <v>2010</v>
      </c>
      <c r="C46" s="27">
        <f>'Exh 5 Stores IS'!M56/'Exh 5 Stores IS'!M53</f>
        <v>0.11733218073611065</v>
      </c>
      <c r="D46" s="27">
        <f>'Exh 5 Stores IS'!N56/'Exh 5 Stores IS'!N53</f>
        <v>8.920754716981133E-2</v>
      </c>
      <c r="E46" s="27"/>
      <c r="F46" s="27"/>
      <c r="G46" s="27"/>
      <c r="H46" s="27"/>
      <c r="I46" s="27"/>
    </row>
    <row r="47" spans="1:11" x14ac:dyDescent="0.3">
      <c r="B47" s="67">
        <v>2011</v>
      </c>
      <c r="C47" s="68">
        <f>'Exh 5 Stores IS'!N63/'Exh 5 Stores IS'!N60</f>
        <v>0.10683722455795093</v>
      </c>
      <c r="D47" s="68"/>
      <c r="E47" s="68"/>
      <c r="F47" s="68"/>
      <c r="G47" s="27"/>
      <c r="H47" s="27"/>
      <c r="I47" s="27"/>
    </row>
    <row r="48" spans="1:11" x14ac:dyDescent="0.3">
      <c r="B48" s="47" t="s">
        <v>3</v>
      </c>
      <c r="C48" s="27">
        <f t="shared" ref="C48:E48" si="3">AVERAGE(C39:C47)</f>
        <v>0.10579722690009558</v>
      </c>
      <c r="D48" s="27">
        <f t="shared" si="3"/>
        <v>8.8844070391514068E-2</v>
      </c>
      <c r="E48" s="27">
        <f t="shared" si="3"/>
        <v>8.1759474443099348E-2</v>
      </c>
      <c r="F48" s="27">
        <f>AVERAGE(F39:K47)</f>
        <v>7.1627691120421513E-2</v>
      </c>
      <c r="G48" s="27"/>
      <c r="H48" s="27"/>
      <c r="I48" s="27"/>
    </row>
    <row r="50" spans="2:12" x14ac:dyDescent="0.3">
      <c r="B50" s="25"/>
      <c r="C50" s="6"/>
      <c r="D50" s="6"/>
      <c r="E50" s="6"/>
      <c r="F50" s="6"/>
      <c r="G50" s="6"/>
      <c r="H50" s="6"/>
      <c r="I50" s="6"/>
    </row>
    <row r="51" spans="2:12" x14ac:dyDescent="0.3">
      <c r="B51" s="25"/>
      <c r="C51" s="6"/>
      <c r="D51" s="6"/>
      <c r="E51" s="6"/>
      <c r="F51" s="6"/>
      <c r="G51" s="6"/>
      <c r="H51" s="6"/>
      <c r="I51" s="6"/>
      <c r="L51" s="20"/>
    </row>
    <row r="52" spans="2:12" x14ac:dyDescent="0.3">
      <c r="B52" s="25"/>
      <c r="C52" s="6"/>
      <c r="D52" s="6"/>
      <c r="E52" s="6"/>
      <c r="F52" s="6"/>
      <c r="G52" s="6"/>
      <c r="H52" s="6"/>
      <c r="I52" s="6"/>
    </row>
    <row r="53" spans="2:12" x14ac:dyDescent="0.3">
      <c r="B53" s="25"/>
      <c r="C53" s="6"/>
      <c r="D53" s="6"/>
      <c r="E53" s="6"/>
      <c r="F53" s="6"/>
      <c r="G53" s="6"/>
      <c r="H53" s="6"/>
      <c r="I53" s="6"/>
    </row>
    <row r="54" spans="2:12" x14ac:dyDescent="0.3">
      <c r="B54" s="25"/>
      <c r="C54" s="6"/>
      <c r="D54" s="6"/>
      <c r="E54" s="6"/>
      <c r="F54" s="6"/>
      <c r="G54" s="6"/>
      <c r="H54" s="6"/>
      <c r="I54" s="6"/>
    </row>
    <row r="55" spans="2:12" x14ac:dyDescent="0.3">
      <c r="B55" s="25"/>
      <c r="C55" s="6"/>
      <c r="D55" s="6"/>
      <c r="E55" s="6"/>
      <c r="F55" s="6"/>
      <c r="G55" s="6"/>
      <c r="H55" s="6"/>
      <c r="I55" s="6"/>
    </row>
    <row r="56" spans="2:12" x14ac:dyDescent="0.3">
      <c r="B56" s="25"/>
      <c r="C56" s="6"/>
      <c r="D56" s="6"/>
      <c r="E56" s="6"/>
      <c r="F56" s="6"/>
      <c r="G56" s="6"/>
      <c r="H56" s="6"/>
      <c r="I56" s="6"/>
    </row>
    <row r="57" spans="2:12" x14ac:dyDescent="0.3">
      <c r="C57" s="27"/>
      <c r="D57" s="27"/>
      <c r="E57" s="27"/>
      <c r="F57" s="27"/>
      <c r="G57" s="27"/>
      <c r="H57" s="27"/>
      <c r="I57" s="27"/>
    </row>
    <row r="58" spans="2:12" x14ac:dyDescent="0.3">
      <c r="C58" s="6"/>
      <c r="D58" s="24"/>
      <c r="E58" s="24"/>
      <c r="F58" s="24"/>
      <c r="G58" s="24"/>
      <c r="H58" s="24"/>
      <c r="I58" s="24"/>
    </row>
    <row r="59" spans="2:12" x14ac:dyDescent="0.3">
      <c r="C59" s="27"/>
      <c r="D59" s="24"/>
      <c r="E59" s="24"/>
      <c r="F59" s="24"/>
      <c r="G59" s="24"/>
      <c r="H59" s="24"/>
      <c r="I59" s="24"/>
    </row>
    <row r="61" spans="2:12" x14ac:dyDescent="0.3">
      <c r="B61" s="25"/>
      <c r="C61" s="6"/>
      <c r="D61" s="6"/>
      <c r="E61" s="6"/>
      <c r="F61" s="6"/>
      <c r="G61" s="6"/>
      <c r="H61" s="6"/>
      <c r="I61" s="6"/>
      <c r="J61" s="6"/>
      <c r="K61" s="6"/>
      <c r="L61" s="20"/>
    </row>
    <row r="62" spans="2:12" x14ac:dyDescent="0.3">
      <c r="B62" s="25"/>
      <c r="C62" s="6"/>
      <c r="D62" s="6"/>
      <c r="E62" s="6"/>
      <c r="F62" s="6"/>
      <c r="G62" s="6"/>
      <c r="H62" s="6"/>
      <c r="I62" s="6"/>
      <c r="J62" s="6"/>
      <c r="K62" s="6"/>
    </row>
    <row r="63" spans="2:12" x14ac:dyDescent="0.3">
      <c r="B63" s="25"/>
      <c r="C63" s="6"/>
      <c r="D63" s="6"/>
      <c r="E63" s="6"/>
      <c r="F63" s="6"/>
      <c r="G63" s="6"/>
      <c r="H63" s="6"/>
      <c r="I63" s="6"/>
    </row>
    <row r="64" spans="2:12" x14ac:dyDescent="0.3">
      <c r="B64" s="25"/>
      <c r="C64" s="6"/>
      <c r="D64" s="6"/>
      <c r="E64" s="6"/>
      <c r="F64" s="6"/>
      <c r="G64" s="6"/>
      <c r="H64" s="6"/>
      <c r="I64" s="6"/>
    </row>
    <row r="65" spans="2:11" x14ac:dyDescent="0.3">
      <c r="B65" s="25"/>
      <c r="C65" s="6"/>
      <c r="D65" s="6"/>
      <c r="E65" s="6"/>
      <c r="F65" s="6"/>
      <c r="G65" s="6"/>
      <c r="H65" s="6"/>
      <c r="I65" s="6"/>
    </row>
    <row r="66" spans="2:11" x14ac:dyDescent="0.3">
      <c r="B66" s="25"/>
      <c r="C66" s="6"/>
      <c r="D66" s="6"/>
      <c r="E66" s="6"/>
      <c r="F66" s="6"/>
      <c r="G66" s="6"/>
      <c r="H66" s="6"/>
      <c r="I66" s="6"/>
    </row>
    <row r="67" spans="2:11" x14ac:dyDescent="0.3">
      <c r="B67" s="25"/>
      <c r="C67" s="6"/>
      <c r="D67" s="6"/>
      <c r="E67" s="6"/>
      <c r="F67" s="6"/>
      <c r="G67" s="6"/>
      <c r="H67" s="6"/>
      <c r="I67" s="6"/>
    </row>
    <row r="68" spans="2:11" x14ac:dyDescent="0.3">
      <c r="B68" s="25"/>
      <c r="C68" s="6"/>
      <c r="D68" s="6"/>
      <c r="E68" s="6"/>
      <c r="F68" s="6"/>
      <c r="G68" s="6"/>
      <c r="H68" s="6"/>
      <c r="I68" s="6"/>
    </row>
    <row r="69" spans="2:11" x14ac:dyDescent="0.3">
      <c r="B69" s="25"/>
      <c r="C69" s="6"/>
      <c r="D69" s="6"/>
      <c r="E69" s="6"/>
      <c r="F69" s="6"/>
      <c r="G69" s="6"/>
      <c r="H69" s="6"/>
      <c r="I69" s="6"/>
    </row>
    <row r="70" spans="2:11" x14ac:dyDescent="0.3">
      <c r="C70" s="27"/>
      <c r="D70" s="27"/>
      <c r="E70" s="27"/>
      <c r="F70" s="27"/>
      <c r="G70" s="27"/>
      <c r="H70" s="27"/>
      <c r="I70" s="27"/>
    </row>
    <row r="71" spans="2:11" x14ac:dyDescent="0.3">
      <c r="C71" s="6"/>
      <c r="D71" s="24"/>
      <c r="E71" s="24"/>
      <c r="F71" s="24"/>
      <c r="G71" s="24"/>
      <c r="H71" s="24"/>
      <c r="I71" s="24"/>
    </row>
    <row r="72" spans="2:11" x14ac:dyDescent="0.3">
      <c r="C72" s="6"/>
      <c r="D72" s="24"/>
      <c r="E72" s="24"/>
      <c r="F72" s="24"/>
      <c r="G72" s="24"/>
      <c r="H72" s="24"/>
      <c r="I72" s="24"/>
    </row>
    <row r="74" spans="2:11" x14ac:dyDescent="0.3">
      <c r="B74" s="25"/>
      <c r="C74" s="27"/>
      <c r="D74" s="27"/>
      <c r="E74" s="27"/>
      <c r="F74" s="27"/>
      <c r="G74" s="27"/>
      <c r="H74" s="27"/>
      <c r="I74" s="27"/>
      <c r="J74" s="27"/>
      <c r="K74" s="27"/>
    </row>
    <row r="75" spans="2:11" x14ac:dyDescent="0.3">
      <c r="B75" s="25"/>
      <c r="C75" s="27"/>
      <c r="D75" s="27"/>
      <c r="E75" s="27"/>
      <c r="F75" s="27"/>
      <c r="G75" s="27"/>
      <c r="H75" s="27"/>
      <c r="I75" s="27"/>
      <c r="J75" s="27"/>
      <c r="K75" s="27"/>
    </row>
    <row r="76" spans="2:11" x14ac:dyDescent="0.3">
      <c r="B76" s="25"/>
      <c r="C76" s="27"/>
      <c r="D76" s="27"/>
      <c r="E76" s="27"/>
      <c r="F76" s="27"/>
      <c r="G76" s="27"/>
      <c r="H76" s="27"/>
      <c r="I76" s="27"/>
    </row>
    <row r="77" spans="2:11" x14ac:dyDescent="0.3">
      <c r="B77" s="25"/>
      <c r="C77" s="27"/>
      <c r="D77" s="27"/>
      <c r="E77" s="27"/>
      <c r="F77" s="27"/>
      <c r="G77" s="27"/>
      <c r="H77" s="27"/>
      <c r="I77" s="27"/>
    </row>
    <row r="78" spans="2:11" x14ac:dyDescent="0.3">
      <c r="B78" s="25"/>
      <c r="C78" s="27"/>
      <c r="D78" s="27"/>
      <c r="E78" s="27"/>
      <c r="F78" s="27"/>
      <c r="G78" s="27"/>
      <c r="H78" s="27"/>
      <c r="I78" s="27"/>
    </row>
    <row r="79" spans="2:11" x14ac:dyDescent="0.3">
      <c r="B79" s="25"/>
      <c r="C79" s="27"/>
      <c r="D79" s="27"/>
      <c r="E79" s="27"/>
      <c r="F79" s="27"/>
      <c r="G79" s="27"/>
      <c r="H79" s="27"/>
      <c r="I79" s="27"/>
    </row>
    <row r="80" spans="2:11" x14ac:dyDescent="0.3">
      <c r="B80" s="25"/>
      <c r="C80" s="27"/>
      <c r="D80" s="27"/>
      <c r="E80" s="27"/>
      <c r="F80" s="27"/>
      <c r="G80" s="27"/>
      <c r="H80" s="27"/>
      <c r="I80" s="27"/>
    </row>
    <row r="81" spans="2:12" x14ac:dyDescent="0.3">
      <c r="B81" s="25"/>
      <c r="C81" s="27"/>
      <c r="D81" s="27"/>
      <c r="E81" s="27"/>
      <c r="F81" s="27"/>
      <c r="G81" s="27"/>
      <c r="H81" s="27"/>
      <c r="I81" s="27"/>
    </row>
    <row r="82" spans="2:12" x14ac:dyDescent="0.3">
      <c r="B82" s="25"/>
      <c r="C82" s="27"/>
      <c r="D82" s="27"/>
      <c r="E82" s="27"/>
      <c r="F82" s="27"/>
      <c r="G82" s="27"/>
      <c r="H82" s="27"/>
      <c r="I82" s="27"/>
    </row>
    <row r="83" spans="2:12" x14ac:dyDescent="0.3">
      <c r="C83" s="27"/>
      <c r="D83" s="27"/>
      <c r="E83" s="27"/>
      <c r="F83" s="27"/>
      <c r="G83" s="27"/>
      <c r="H83" s="27"/>
      <c r="I83" s="27"/>
    </row>
    <row r="84" spans="2:12" x14ac:dyDescent="0.3">
      <c r="C84" s="6"/>
      <c r="D84" s="24"/>
      <c r="E84" s="24"/>
      <c r="F84" s="24"/>
      <c r="G84" s="24"/>
      <c r="H84" s="24"/>
      <c r="I84" s="24"/>
    </row>
    <row r="85" spans="2:12" x14ac:dyDescent="0.3">
      <c r="C85" s="6"/>
    </row>
    <row r="88" spans="2:12" x14ac:dyDescent="0.3">
      <c r="C88" s="6"/>
      <c r="D88" s="31"/>
      <c r="E88" s="3"/>
      <c r="G88" s="6"/>
    </row>
    <row r="89" spans="2:12" x14ac:dyDescent="0.3">
      <c r="C89" s="6"/>
      <c r="D89" s="31"/>
      <c r="E89" s="3"/>
      <c r="G89" s="6"/>
    </row>
    <row r="90" spans="2:12" x14ac:dyDescent="0.3">
      <c r="E90" s="5"/>
    </row>
    <row r="92" spans="2:12" x14ac:dyDescent="0.3">
      <c r="B92" s="25"/>
      <c r="C92" s="8"/>
      <c r="D92" s="31"/>
      <c r="E92" s="8"/>
      <c r="K92" s="31"/>
      <c r="L92" s="8"/>
    </row>
    <row r="93" spans="2:12" x14ac:dyDescent="0.3">
      <c r="B93" s="25"/>
      <c r="C93" s="8"/>
      <c r="D93" s="31"/>
      <c r="E93" s="8"/>
      <c r="K93" s="31"/>
      <c r="L93" s="8"/>
    </row>
    <row r="94" spans="2:12" x14ac:dyDescent="0.3">
      <c r="B94" s="25"/>
      <c r="C94" s="8"/>
      <c r="D94" s="31"/>
      <c r="E94" s="8"/>
      <c r="K94" s="31"/>
      <c r="L94" s="8"/>
    </row>
    <row r="95" spans="2:12" x14ac:dyDescent="0.3">
      <c r="B95" s="25"/>
      <c r="C95" s="8"/>
      <c r="D95" s="31"/>
      <c r="E95" s="8"/>
      <c r="K95" s="31"/>
      <c r="L95" s="8"/>
    </row>
    <row r="96" spans="2:12" x14ac:dyDescent="0.3">
      <c r="B96" s="25"/>
      <c r="C96" s="8"/>
      <c r="D96" s="31"/>
      <c r="E96" s="8"/>
      <c r="K96" s="31"/>
      <c r="L96" s="8"/>
    </row>
    <row r="97" spans="2:12" x14ac:dyDescent="0.3">
      <c r="B97" s="25"/>
      <c r="C97" s="8"/>
      <c r="D97" s="31"/>
      <c r="E97" s="8"/>
      <c r="K97" s="31"/>
      <c r="L97" s="8"/>
    </row>
    <row r="98" spans="2:12" x14ac:dyDescent="0.3">
      <c r="B98" s="25"/>
      <c r="C98" s="8"/>
      <c r="D98" s="31"/>
      <c r="E98" s="8"/>
      <c r="K98" s="31"/>
      <c r="L98" s="8"/>
    </row>
    <row r="99" spans="2:12" x14ac:dyDescent="0.3">
      <c r="B99" s="25"/>
      <c r="C99" s="8"/>
      <c r="D99" s="31"/>
      <c r="E99" s="8"/>
      <c r="K99" s="31"/>
      <c r="L99" s="8"/>
    </row>
    <row r="100" spans="2:12" x14ac:dyDescent="0.3">
      <c r="B100" s="25"/>
      <c r="C100" s="8"/>
      <c r="D100" s="31"/>
      <c r="E100" s="8"/>
      <c r="K100" s="31"/>
      <c r="L100" s="8"/>
    </row>
    <row r="101" spans="2:12" x14ac:dyDescent="0.3">
      <c r="B101" s="25"/>
      <c r="C101" s="8"/>
      <c r="D101" s="31"/>
      <c r="E101" s="8"/>
      <c r="K101" s="31"/>
      <c r="L101" s="8"/>
    </row>
    <row r="102" spans="2:12" x14ac:dyDescent="0.3">
      <c r="B102" s="25"/>
      <c r="C102" s="8"/>
      <c r="D102" s="31"/>
      <c r="E102" s="8"/>
      <c r="K102" s="31"/>
      <c r="L102" s="8"/>
    </row>
    <row r="103" spans="2:12" x14ac:dyDescent="0.3">
      <c r="B103" s="25"/>
      <c r="C103" s="8"/>
      <c r="D103" s="31"/>
      <c r="E103" s="8"/>
      <c r="K103" s="31"/>
      <c r="L103" s="8"/>
    </row>
    <row r="104" spans="2:12" x14ac:dyDescent="0.3">
      <c r="B104" s="25"/>
      <c r="C104" s="8"/>
      <c r="D104" s="31"/>
      <c r="E104" s="8"/>
      <c r="K104" s="31"/>
      <c r="L104" s="8"/>
    </row>
    <row r="105" spans="2:12" x14ac:dyDescent="0.3">
      <c r="B105" s="25"/>
      <c r="C105" s="8"/>
      <c r="D105" s="31"/>
      <c r="E105" s="8"/>
      <c r="K105" s="31"/>
      <c r="L105" s="8"/>
    </row>
    <row r="106" spans="2:12" x14ac:dyDescent="0.3">
      <c r="B106" s="25"/>
      <c r="D106" s="31"/>
      <c r="E106" s="8"/>
    </row>
    <row r="107" spans="2:12" x14ac:dyDescent="0.3">
      <c r="B107" s="25"/>
      <c r="C107" s="8"/>
      <c r="D107" s="31"/>
      <c r="E107" s="8"/>
      <c r="J107" s="31"/>
      <c r="K107" s="8"/>
    </row>
    <row r="108" spans="2:12" x14ac:dyDescent="0.3">
      <c r="B108" s="25"/>
      <c r="C108" s="8"/>
      <c r="D108" s="31"/>
      <c r="E108" s="8"/>
      <c r="J108" s="31"/>
      <c r="K108" s="8"/>
    </row>
    <row r="109" spans="2:12" x14ac:dyDescent="0.3">
      <c r="B109" s="25"/>
      <c r="C109" s="8"/>
      <c r="D109" s="31"/>
      <c r="E109" s="8"/>
      <c r="J109" s="31"/>
      <c r="K109" s="8"/>
    </row>
    <row r="110" spans="2:12" x14ac:dyDescent="0.3">
      <c r="B110" s="25"/>
      <c r="C110" s="8"/>
      <c r="D110" s="31"/>
      <c r="E110" s="8"/>
      <c r="J110" s="31"/>
      <c r="K110" s="8"/>
    </row>
    <row r="111" spans="2:12" x14ac:dyDescent="0.3">
      <c r="B111" s="25"/>
      <c r="C111" s="8"/>
      <c r="D111" s="31"/>
      <c r="E111" s="8"/>
      <c r="J111" s="31"/>
      <c r="K111" s="8"/>
    </row>
    <row r="112" spans="2:12" x14ac:dyDescent="0.3">
      <c r="B112" s="25"/>
      <c r="C112" s="8"/>
      <c r="D112" s="31"/>
      <c r="E112" s="8"/>
      <c r="J112" s="31"/>
      <c r="K112" s="8"/>
    </row>
    <row r="113" spans="2:11" x14ac:dyDescent="0.3">
      <c r="B113" s="25"/>
      <c r="C113" s="8"/>
      <c r="D113" s="31"/>
      <c r="E113" s="8"/>
      <c r="J113" s="31"/>
      <c r="K113" s="8"/>
    </row>
    <row r="114" spans="2:11" x14ac:dyDescent="0.3">
      <c r="B114" s="25"/>
      <c r="C114" s="8"/>
      <c r="D114" s="31"/>
      <c r="E114" s="8"/>
      <c r="J114" s="31"/>
      <c r="K114" s="8"/>
    </row>
    <row r="115" spans="2:11" x14ac:dyDescent="0.3">
      <c r="B115" s="25"/>
      <c r="C115" s="8"/>
      <c r="D115" s="31"/>
      <c r="E115" s="8"/>
      <c r="J115" s="31"/>
      <c r="K115" s="8"/>
    </row>
    <row r="116" spans="2:11" x14ac:dyDescent="0.3">
      <c r="B116" s="25"/>
      <c r="C116" s="8"/>
      <c r="D116" s="31"/>
      <c r="E116" s="8"/>
      <c r="J116" s="31"/>
      <c r="K116" s="8"/>
    </row>
    <row r="117" spans="2:11" x14ac:dyDescent="0.3">
      <c r="B117" s="25"/>
      <c r="C117" s="8"/>
      <c r="D117" s="31"/>
      <c r="E117" s="8"/>
      <c r="J117" s="31"/>
      <c r="K117" s="8"/>
    </row>
    <row r="118" spans="2:11" x14ac:dyDescent="0.3">
      <c r="B118" s="25"/>
      <c r="C118" s="8"/>
      <c r="D118" s="31"/>
      <c r="E118" s="8"/>
      <c r="J118" s="31"/>
      <c r="K118" s="8"/>
    </row>
    <row r="119" spans="2:11" x14ac:dyDescent="0.3">
      <c r="B119" s="25"/>
      <c r="C119" s="8"/>
      <c r="D119" s="31"/>
      <c r="E119" s="8"/>
      <c r="J119" s="31"/>
      <c r="K119" s="8"/>
    </row>
    <row r="121" spans="2:11" x14ac:dyDescent="0.3">
      <c r="B121" s="5"/>
    </row>
    <row r="123" spans="2:11" x14ac:dyDescent="0.3">
      <c r="B123" s="25"/>
      <c r="C123" s="8"/>
      <c r="D123" s="31"/>
      <c r="E123" s="8"/>
    </row>
    <row r="124" spans="2:11" x14ac:dyDescent="0.3">
      <c r="B124" s="25"/>
      <c r="C124" s="8"/>
      <c r="D124" s="31"/>
      <c r="E124" s="8"/>
    </row>
    <row r="125" spans="2:11" x14ac:dyDescent="0.3">
      <c r="B125" s="25"/>
      <c r="C125" s="8"/>
      <c r="D125" s="31"/>
      <c r="E125" s="8"/>
    </row>
    <row r="126" spans="2:11" x14ac:dyDescent="0.3">
      <c r="B126" s="25"/>
      <c r="C126" s="8"/>
      <c r="D126" s="31"/>
      <c r="E126" s="8"/>
    </row>
    <row r="127" spans="2:11" x14ac:dyDescent="0.3">
      <c r="B127" s="25"/>
      <c r="C127" s="8"/>
      <c r="D127" s="31"/>
      <c r="E127" s="8"/>
    </row>
    <row r="128" spans="2:11" x14ac:dyDescent="0.3">
      <c r="B128" s="25"/>
      <c r="C128" s="8"/>
      <c r="D128" s="31"/>
      <c r="E128" s="8"/>
    </row>
    <row r="129" spans="2:8" x14ac:dyDescent="0.3">
      <c r="B129" s="25"/>
      <c r="C129" s="8"/>
      <c r="D129" s="31"/>
      <c r="E129" s="8"/>
    </row>
    <row r="130" spans="2:8" x14ac:dyDescent="0.3">
      <c r="B130" s="25"/>
      <c r="C130" s="8"/>
      <c r="D130" s="31"/>
      <c r="E130" s="8"/>
    </row>
    <row r="131" spans="2:8" x14ac:dyDescent="0.3">
      <c r="B131" s="25"/>
      <c r="C131" s="8"/>
      <c r="D131" s="31"/>
      <c r="E131" s="8"/>
    </row>
    <row r="132" spans="2:8" x14ac:dyDescent="0.3">
      <c r="B132" s="25"/>
      <c r="C132" s="8"/>
      <c r="D132" s="31"/>
      <c r="E132" s="8"/>
      <c r="H132" s="8"/>
    </row>
    <row r="133" spans="2:8" x14ac:dyDescent="0.3">
      <c r="B133" s="25"/>
      <c r="C133" s="8"/>
      <c r="D133" s="31"/>
      <c r="E133" s="8"/>
      <c r="G133" s="6"/>
    </row>
    <row r="134" spans="2:8" x14ac:dyDescent="0.3">
      <c r="B134" s="25"/>
      <c r="C134" s="8"/>
      <c r="D134" s="31"/>
      <c r="E134" s="8"/>
      <c r="G134" s="6"/>
    </row>
    <row r="135" spans="2:8" x14ac:dyDescent="0.3">
      <c r="B135" s="25"/>
      <c r="C135" s="8"/>
      <c r="D135" s="31"/>
      <c r="E135" s="8"/>
      <c r="G135" s="6"/>
    </row>
  </sheetData>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Copyright</vt:lpstr>
      <vt:lpstr>Exh 1 Stores</vt:lpstr>
      <vt:lpstr>Exh 2 Econ Indicators</vt:lpstr>
      <vt:lpstr>Exh 3 Teuer IS</vt:lpstr>
      <vt:lpstr>Exh 4 Teuer BS</vt:lpstr>
      <vt:lpstr>Exh 5 Stores IS</vt:lpstr>
      <vt:lpstr>Exh 6 Stores BS</vt:lpstr>
      <vt:lpstr>Exh 7 Teuer CFA</vt:lpstr>
      <vt:lpstr>Exh 8 Sales Forecasting</vt:lpstr>
      <vt:lpstr>Exh 9 Capital Forecasting</vt:lpstr>
      <vt:lpstr>Exh 10 Forecast Parameters</vt:lpstr>
      <vt:lpstr>Teuer IS Pro Forma</vt:lpstr>
      <vt:lpstr>Teuer BS Pro Forma</vt:lpstr>
      <vt:lpstr>Teuer CFA Pro Forma</vt:lpstr>
    </vt:vector>
  </TitlesOfParts>
  <Company>Kellogg School of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Petersen</dc:creator>
  <cp:lastModifiedBy>David Moore</cp:lastModifiedBy>
  <cp:lastPrinted>2013-11-05T01:31:03Z</cp:lastPrinted>
  <dcterms:created xsi:type="dcterms:W3CDTF">2013-08-13T19:54:49Z</dcterms:created>
  <dcterms:modified xsi:type="dcterms:W3CDTF">2022-10-17T23:06:42Z</dcterms:modified>
</cp:coreProperties>
</file>