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David Moore\Dropbox\LMU_teaching\FNCE_3415\Spring_20\Yeti\Relative\"/>
    </mc:Choice>
  </mc:AlternateContent>
  <xr:revisionPtr revIDLastSave="0" documentId="13_ncr:1_{E3654597-B74E-4010-822A-7C122C73618C}" xr6:coauthVersionLast="45" xr6:coauthVersionMax="45" xr10:uidLastSave="{00000000-0000-0000-0000-000000000000}"/>
  <bookViews>
    <workbookView xWindow="28680" yWindow="-120" windowWidth="29040" windowHeight="15840" xr2:uid="{00000000-000D-0000-FFFF-FFFF00000000}"/>
  </bookViews>
  <sheets>
    <sheet name="Possible_Comps" sheetId="16" r:id="rId1"/>
    <sheet name="Selecting_Comps" sheetId="15" r:id="rId2"/>
    <sheet name="Yeti_Comps" sheetId="7" r:id="rId3"/>
    <sheet name="YETI_DCF" sheetId="17" r:id="rId4"/>
    <sheet name="YETI_IS" sheetId="18" r:id="rId5"/>
    <sheet name="YETI_BS" sheetId="19" r:id="rId6"/>
    <sheet name="YETI_CFS" sheetId="20" r:id="rId7"/>
    <sheet name="Option_Value" sheetId="21" r:id="rId8"/>
    <sheet name="ELY_LTM" sheetId="8" r:id="rId9"/>
    <sheet name="CLAR_LTM" sheetId="9" r:id="rId10"/>
    <sheet name="LULU_LTM" sheetId="10" r:id="rId11"/>
    <sheet name="GOOS_LTM" sheetId="11" r:id="rId12"/>
    <sheet name="JOUT_LTM" sheetId="12" r:id="rId13"/>
    <sheet name="COLM_LTM" sheetId="13" r:id="rId14"/>
    <sheet name="YETI_LTM" sheetId="14" r:id="rId15"/>
  </sheets>
  <definedNames>
    <definedName name="_xlnm._FilterDatabase" localSheetId="3" hidden="1">YETI_DCF!#REF!</definedName>
    <definedName name="CIQWBGuid" hidden="1">"d0998759-8ba7-4210-8fa6-7a4a90d99731"</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localSheetId="9" hidden="1">42786.9531828704</definedName>
    <definedName name="IQ_NAMES_REVISION_DATE_" localSheetId="13" hidden="1">42786.9531828704</definedName>
    <definedName name="IQ_NAMES_REVISION_DATE_" localSheetId="8" hidden="1">42786.9531828704</definedName>
    <definedName name="IQ_NAMES_REVISION_DATE_" localSheetId="11" hidden="1">42786.9531828704</definedName>
    <definedName name="IQ_NAMES_REVISION_DATE_" localSheetId="12" hidden="1">42786.9531828704</definedName>
    <definedName name="IQ_NAMES_REVISION_DATE_" localSheetId="10" hidden="1">42786.9531828704</definedName>
    <definedName name="IQ_NAMES_REVISION_DATE_" localSheetId="2" hidden="1">42765.9361458333</definedName>
    <definedName name="IQ_NAMES_REVISION_DATE_" localSheetId="14" hidden="1">42786.9531828704</definedName>
    <definedName name="IQ_NAMES_REVISION_DATE_" hidden="1">43011.9007060185</definedName>
    <definedName name="IQ_QTD" hidden="1">750000</definedName>
    <definedName name="IQ_TODAY" hidden="1">0</definedName>
    <definedName name="IQ_YTDMONTH" hidden="1">130000</definedName>
  </definedNames>
  <calcPr calcId="18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 i="7" l="1"/>
  <c r="C8" i="14"/>
  <c r="H12" i="14"/>
  <c r="H7" i="13"/>
  <c r="H8" i="13"/>
  <c r="H6" i="13"/>
  <c r="C8" i="13"/>
  <c r="H16" i="13"/>
  <c r="H12" i="13"/>
  <c r="C8" i="9"/>
  <c r="H8" i="9" s="1"/>
  <c r="H12" i="9"/>
  <c r="H7" i="9"/>
  <c r="H6" i="9"/>
  <c r="H7" i="8"/>
  <c r="H8" i="8"/>
  <c r="H6" i="8"/>
  <c r="C8" i="8"/>
  <c r="H12" i="8"/>
  <c r="F119" i="17"/>
  <c r="G20" i="21"/>
  <c r="D20" i="21"/>
  <c r="G19" i="21"/>
  <c r="G18" i="21"/>
  <c r="G21" i="21" s="1"/>
  <c r="D17" i="21"/>
  <c r="D19" i="21" s="1"/>
  <c r="G16" i="21"/>
  <c r="E9" i="21"/>
  <c r="E6" i="19"/>
  <c r="D6" i="19"/>
  <c r="C6" i="19"/>
  <c r="B6" i="19"/>
  <c r="F6" i="18"/>
  <c r="E6" i="18"/>
  <c r="D6" i="18"/>
  <c r="C6" i="18"/>
  <c r="B6" i="18"/>
  <c r="C143" i="17"/>
  <c r="C144" i="17" s="1"/>
  <c r="C145" i="17" s="1"/>
  <c r="C146" i="17" s="1"/>
  <c r="C147" i="17" s="1"/>
  <c r="H141" i="17"/>
  <c r="I141" i="17" s="1"/>
  <c r="J141" i="17" s="1"/>
  <c r="K141" i="17" s="1"/>
  <c r="L141" i="17" s="1"/>
  <c r="F141" i="17"/>
  <c r="G141" i="17" s="1"/>
  <c r="E141" i="17"/>
  <c r="B136" i="17"/>
  <c r="C135" i="17"/>
  <c r="B135" i="17"/>
  <c r="B134" i="17"/>
  <c r="G129" i="17"/>
  <c r="G128" i="17"/>
  <c r="K127" i="17"/>
  <c r="K128" i="17" s="1"/>
  <c r="G127" i="17"/>
  <c r="I127" i="17" s="1"/>
  <c r="F127" i="17"/>
  <c r="G126" i="17"/>
  <c r="I126" i="17" s="1"/>
  <c r="F110" i="17"/>
  <c r="F108" i="17"/>
  <c r="F101" i="17"/>
  <c r="F102" i="17" s="1"/>
  <c r="F99" i="17"/>
  <c r="N92" i="17"/>
  <c r="S49" i="17" s="1"/>
  <c r="N89" i="17"/>
  <c r="I88" i="17"/>
  <c r="N77" i="17"/>
  <c r="M77" i="17"/>
  <c r="F61" i="17"/>
  <c r="S50" i="17"/>
  <c r="N50" i="17"/>
  <c r="H50" i="17"/>
  <c r="S43" i="17"/>
  <c r="E10" i="21" s="1"/>
  <c r="G17" i="21" s="1"/>
  <c r="F35" i="17"/>
  <c r="G29" i="17"/>
  <c r="H29" i="17" s="1"/>
  <c r="I29" i="17" s="1"/>
  <c r="J29" i="17" s="1"/>
  <c r="K29" i="17" s="1"/>
  <c r="L29" i="17" s="1"/>
  <c r="M29" i="17" s="1"/>
  <c r="N29" i="17" s="1"/>
  <c r="O29" i="17" s="1"/>
  <c r="P29" i="17" s="1"/>
  <c r="Q29" i="17" s="1"/>
  <c r="R29" i="17" s="1"/>
  <c r="F29" i="17"/>
  <c r="G24" i="17"/>
  <c r="F24" i="17"/>
  <c r="F23" i="17"/>
  <c r="F22" i="17"/>
  <c r="F17" i="17"/>
  <c r="F14" i="17"/>
  <c r="F13" i="17"/>
  <c r="F15" i="17" s="1"/>
  <c r="G12" i="17"/>
  <c r="B6" i="17"/>
  <c r="F67" i="17" l="1"/>
  <c r="F62" i="17"/>
  <c r="G61" i="17"/>
  <c r="F76" i="17"/>
  <c r="G76" i="17" s="1"/>
  <c r="H76" i="17" s="1"/>
  <c r="I76" i="17" s="1"/>
  <c r="J76" i="17" s="1"/>
  <c r="K76" i="17" s="1"/>
  <c r="L76" i="17" s="1"/>
  <c r="M76" i="17" s="1"/>
  <c r="N76" i="17" s="1"/>
  <c r="O76" i="17" s="1"/>
  <c r="P76" i="17" s="1"/>
  <c r="Q76" i="17" s="1"/>
  <c r="R76" i="17" s="1"/>
  <c r="F66" i="17"/>
  <c r="F63" i="17"/>
  <c r="F68" i="17"/>
  <c r="U34" i="17"/>
  <c r="M34" i="17" s="1"/>
  <c r="U33" i="17"/>
  <c r="M33" i="17" s="1"/>
  <c r="N33" i="17" s="1"/>
  <c r="O33" i="17" s="1"/>
  <c r="P33" i="17" s="1"/>
  <c r="Q33" i="17" s="1"/>
  <c r="R33" i="17" s="1"/>
  <c r="U32" i="17"/>
  <c r="M32" i="17" s="1"/>
  <c r="N32" i="17" s="1"/>
  <c r="O32" i="17" s="1"/>
  <c r="P32" i="17" s="1"/>
  <c r="Q32" i="17" s="1"/>
  <c r="R32" i="17" s="1"/>
  <c r="U35" i="17"/>
  <c r="M35" i="17" s="1"/>
  <c r="N35" i="17" s="1"/>
  <c r="O35" i="17" s="1"/>
  <c r="P35" i="17" s="1"/>
  <c r="Q35" i="17" s="1"/>
  <c r="R35" i="17" s="1"/>
  <c r="G23" i="17"/>
  <c r="G14" i="17"/>
  <c r="G22" i="17"/>
  <c r="G17" i="17"/>
  <c r="G13" i="17"/>
  <c r="H12" i="17"/>
  <c r="U31" i="17"/>
  <c r="M31" i="17" s="1"/>
  <c r="N31" i="17" s="1"/>
  <c r="O31" i="17" s="1"/>
  <c r="P31" i="17" s="1"/>
  <c r="Q31" i="17" s="1"/>
  <c r="R31" i="17" s="1"/>
  <c r="F18" i="17"/>
  <c r="F36" i="17"/>
  <c r="K129" i="17"/>
  <c r="I129" i="17" s="1"/>
  <c r="C133" i="17" s="1"/>
  <c r="C136" i="17" s="1"/>
  <c r="F116" i="17" s="1"/>
  <c r="F117" i="17" s="1"/>
  <c r="I128" i="17"/>
  <c r="F33" i="17"/>
  <c r="F34" i="17"/>
  <c r="O77" i="17"/>
  <c r="F32" i="17"/>
  <c r="I92" i="17"/>
  <c r="F105" i="17"/>
  <c r="F104" i="17"/>
  <c r="I89" i="17"/>
  <c r="I90" i="17" s="1"/>
  <c r="C134" i="17"/>
  <c r="N52" i="17" l="1"/>
  <c r="H52" i="17"/>
  <c r="G31" i="17"/>
  <c r="G15" i="17"/>
  <c r="G34" i="17"/>
  <c r="N34" i="17"/>
  <c r="F19" i="17"/>
  <c r="F20" i="17" s="1"/>
  <c r="F25" i="17" s="1"/>
  <c r="G33" i="17"/>
  <c r="G66" i="17"/>
  <c r="G63" i="17"/>
  <c r="G62" i="17"/>
  <c r="G68" i="17"/>
  <c r="G67" i="17"/>
  <c r="H61" i="17"/>
  <c r="P77" i="17"/>
  <c r="G35" i="17"/>
  <c r="F64" i="17"/>
  <c r="H22" i="17"/>
  <c r="H23" i="17"/>
  <c r="H13" i="17"/>
  <c r="I12" i="17"/>
  <c r="H14" i="17"/>
  <c r="H17" i="17"/>
  <c r="G32" i="17"/>
  <c r="F69" i="17"/>
  <c r="H31" i="17" l="1"/>
  <c r="H15" i="17"/>
  <c r="H63" i="17"/>
  <c r="H62" i="17"/>
  <c r="H64" i="17" s="1"/>
  <c r="H71" i="17" s="1"/>
  <c r="H68" i="17"/>
  <c r="H67" i="17"/>
  <c r="H66" i="17"/>
  <c r="H69" i="17" s="1"/>
  <c r="I61" i="17"/>
  <c r="G18" i="17"/>
  <c r="G36" i="17"/>
  <c r="H33" i="17"/>
  <c r="H34" i="17"/>
  <c r="Q77" i="17"/>
  <c r="G69" i="17"/>
  <c r="H32" i="17"/>
  <c r="H35" i="17"/>
  <c r="O34" i="17"/>
  <c r="I23" i="17"/>
  <c r="I34" i="17" s="1"/>
  <c r="I17" i="17"/>
  <c r="I22" i="17"/>
  <c r="I13" i="17"/>
  <c r="J12" i="17"/>
  <c r="I14" i="17"/>
  <c r="F71" i="17"/>
  <c r="N45" i="17"/>
  <c r="H45" i="17"/>
  <c r="G64" i="17"/>
  <c r="J22" i="17" l="1"/>
  <c r="J23" i="17"/>
  <c r="J34" i="17" s="1"/>
  <c r="K12" i="17"/>
  <c r="L12" i="17" s="1"/>
  <c r="M12" i="17" s="1"/>
  <c r="N12" i="17" s="1"/>
  <c r="O12" i="17" s="1"/>
  <c r="P12" i="17" s="1"/>
  <c r="Q12" i="17" s="1"/>
  <c r="R12" i="17" s="1"/>
  <c r="J14" i="17"/>
  <c r="J17" i="17"/>
  <c r="J13" i="17"/>
  <c r="I68" i="17"/>
  <c r="I63" i="17"/>
  <c r="I67" i="17"/>
  <c r="I66" i="17"/>
  <c r="J61" i="17"/>
  <c r="I62" i="17"/>
  <c r="I64" i="17" s="1"/>
  <c r="H77" i="17"/>
  <c r="I31" i="17"/>
  <c r="I15" i="17"/>
  <c r="P34" i="17"/>
  <c r="I35" i="17"/>
  <c r="H36" i="17"/>
  <c r="H18" i="17"/>
  <c r="G71" i="17"/>
  <c r="G77" i="17" s="1"/>
  <c r="I32" i="17"/>
  <c r="I33" i="17"/>
  <c r="R77" i="17"/>
  <c r="G19" i="17"/>
  <c r="G20" i="17" s="1"/>
  <c r="G25" i="17" s="1"/>
  <c r="Q34" i="17" l="1"/>
  <c r="J67" i="17"/>
  <c r="J62" i="17"/>
  <c r="J64" i="17" s="1"/>
  <c r="K61" i="17"/>
  <c r="L61" i="17" s="1"/>
  <c r="M61" i="17" s="1"/>
  <c r="N61" i="17" s="1"/>
  <c r="O61" i="17" s="1"/>
  <c r="P61" i="17" s="1"/>
  <c r="Q61" i="17" s="1"/>
  <c r="R61" i="17" s="1"/>
  <c r="J68" i="17"/>
  <c r="J66" i="17"/>
  <c r="J63" i="17"/>
  <c r="H19" i="17"/>
  <c r="H20" i="17"/>
  <c r="H25" i="17" s="1"/>
  <c r="I36" i="17"/>
  <c r="I18" i="17"/>
  <c r="H72" i="17"/>
  <c r="H24" i="17" s="1"/>
  <c r="I69" i="17"/>
  <c r="I71" i="17" s="1"/>
  <c r="J31" i="17"/>
  <c r="J15" i="17"/>
  <c r="K13" i="17"/>
  <c r="J33" i="17"/>
  <c r="J35" i="17"/>
  <c r="J32" i="17"/>
  <c r="I72" i="17" l="1"/>
  <c r="I24" i="17" s="1"/>
  <c r="I77" i="17"/>
  <c r="J69" i="17"/>
  <c r="J71" i="17"/>
  <c r="K71" i="17"/>
  <c r="K23" i="17"/>
  <c r="K22" i="17" s="1"/>
  <c r="K14" i="17"/>
  <c r="K15" i="17" s="1"/>
  <c r="L13" i="17"/>
  <c r="K17" i="17"/>
  <c r="J36" i="17"/>
  <c r="J18" i="17"/>
  <c r="I19" i="17"/>
  <c r="I20" i="17" s="1"/>
  <c r="I25" i="17" s="1"/>
  <c r="R34" i="17"/>
  <c r="K18" i="17" l="1"/>
  <c r="K36" i="17"/>
  <c r="L17" i="17"/>
  <c r="L23" i="17"/>
  <c r="L22" i="17" s="1"/>
  <c r="L14" i="17"/>
  <c r="L71" i="17"/>
  <c r="L72" i="17" s="1"/>
  <c r="L24" i="17" s="1"/>
  <c r="M13" i="17"/>
  <c r="L15" i="17"/>
  <c r="J19" i="17"/>
  <c r="J20" i="17"/>
  <c r="J72" i="17"/>
  <c r="J24" i="17" s="1"/>
  <c r="J77" i="17"/>
  <c r="K72" i="17"/>
  <c r="K24" i="17" s="1"/>
  <c r="M71" i="17" l="1"/>
  <c r="M72" i="17" s="1"/>
  <c r="M24" i="17" s="1"/>
  <c r="M17" i="17"/>
  <c r="N13" i="17"/>
  <c r="M15" i="17"/>
  <c r="M14" i="17"/>
  <c r="M23" i="17"/>
  <c r="M22" i="17" s="1"/>
  <c r="L36" i="17"/>
  <c r="L18" i="17"/>
  <c r="J25" i="17"/>
  <c r="K19" i="17"/>
  <c r="K20" i="17" s="1"/>
  <c r="K25" i="17" s="1"/>
  <c r="L19" i="17" l="1"/>
  <c r="L20" i="17" s="1"/>
  <c r="L25" i="17" s="1"/>
  <c r="N17" i="17"/>
  <c r="N14" i="17"/>
  <c r="N15" i="17" s="1"/>
  <c r="O13" i="17"/>
  <c r="N71" i="17"/>
  <c r="N72" i="17" s="1"/>
  <c r="N24" i="17" s="1"/>
  <c r="N23" i="17"/>
  <c r="N22" i="17" s="1"/>
  <c r="M36" i="17"/>
  <c r="M18" i="17"/>
  <c r="N36" i="17" l="1"/>
  <c r="N18" i="17"/>
  <c r="M20" i="17"/>
  <c r="M25" i="17" s="1"/>
  <c r="M19" i="17"/>
  <c r="O14" i="17"/>
  <c r="P13" i="17"/>
  <c r="O15" i="17"/>
  <c r="O17" i="17"/>
  <c r="O71" i="17"/>
  <c r="O72" i="17" s="1"/>
  <c r="O24" i="17" s="1"/>
  <c r="O23" i="17"/>
  <c r="O22" i="17" s="1"/>
  <c r="O18" i="17" l="1"/>
  <c r="O36" i="17"/>
  <c r="P17" i="17"/>
  <c r="P14" i="17"/>
  <c r="Q13" i="17"/>
  <c r="P15" i="17"/>
  <c r="P71" i="17"/>
  <c r="P72" i="17" s="1"/>
  <c r="P24" i="17" s="1"/>
  <c r="P23" i="17"/>
  <c r="P22" i="17" s="1"/>
  <c r="N19" i="17"/>
  <c r="N20" i="17"/>
  <c r="N25" i="17" s="1"/>
  <c r="P36" i="17" l="1"/>
  <c r="P18" i="17"/>
  <c r="Q14" i="17"/>
  <c r="Q15" i="17" s="1"/>
  <c r="R13" i="17"/>
  <c r="Q17" i="17"/>
  <c r="Q71" i="17"/>
  <c r="Q72" i="17" s="1"/>
  <c r="Q24" i="17" s="1"/>
  <c r="Q23" i="17"/>
  <c r="Q22" i="17" s="1"/>
  <c r="O19" i="17"/>
  <c r="O20" i="17"/>
  <c r="O25" i="17" s="1"/>
  <c r="Q18" i="17" l="1"/>
  <c r="Q36" i="17"/>
  <c r="R15" i="17"/>
  <c r="R17" i="17"/>
  <c r="R14" i="17"/>
  <c r="R71" i="17"/>
  <c r="R72" i="17" s="1"/>
  <c r="R24" i="17" s="1"/>
  <c r="R23" i="17"/>
  <c r="R22" i="17" s="1"/>
  <c r="P20" i="17"/>
  <c r="P25" i="17" s="1"/>
  <c r="P19" i="17"/>
  <c r="R36" i="17" l="1"/>
  <c r="R18" i="17"/>
  <c r="Q19" i="17"/>
  <c r="Q20" i="17" s="1"/>
  <c r="Q25" i="17" s="1"/>
  <c r="N42" i="17" l="1"/>
  <c r="N44" i="17" s="1"/>
  <c r="N46" i="17" s="1"/>
  <c r="R19" i="17"/>
  <c r="R20" i="17" s="1"/>
  <c r="R25" i="17" s="1"/>
  <c r="H42" i="17" l="1"/>
  <c r="H44" i="17" s="1"/>
  <c r="H46" i="17" s="1"/>
  <c r="H48" i="17"/>
  <c r="H49" i="17" s="1"/>
  <c r="H51" i="17" s="1"/>
  <c r="N48" i="17"/>
  <c r="N49" i="17" s="1"/>
  <c r="N51" i="17" s="1"/>
  <c r="N53" i="17" s="1"/>
  <c r="H53" i="17" l="1"/>
  <c r="C141" i="17" s="1"/>
  <c r="S48" i="17"/>
  <c r="S51" i="17" s="1"/>
  <c r="S42" i="17"/>
  <c r="E3" i="21" l="1"/>
  <c r="D16" i="21"/>
  <c r="D18" i="21"/>
  <c r="C23" i="21"/>
  <c r="C24" i="21"/>
  <c r="C26" i="21"/>
  <c r="C27" i="21"/>
  <c r="D29" i="21"/>
  <c r="E30" i="21"/>
  <c r="S44" i="17"/>
  <c r="S4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Moore</author>
  </authors>
  <commentList>
    <comment ref="H43" authorId="0" shapeId="0" xr:uid="{137B8EB5-82EE-4E3F-91BC-D91A77B0D678}">
      <text>
        <r>
          <rPr>
            <b/>
            <sz val="9"/>
            <color indexed="81"/>
            <rFont val="Tahoma"/>
            <family val="2"/>
          </rPr>
          <t>David Moore:</t>
        </r>
        <r>
          <rPr>
            <sz val="9"/>
            <color indexed="81"/>
            <rFont val="Tahoma"/>
            <family val="2"/>
          </rPr>
          <t xml:space="preserve">
US Treasury 10-year as of end of day 3/25/2020
</t>
        </r>
      </text>
    </comment>
    <comment ref="N43" authorId="0" shapeId="0" xr:uid="{E05D740D-148A-4B14-B354-634EBEC274C7}">
      <text>
        <r>
          <rPr>
            <b/>
            <sz val="9"/>
            <color indexed="81"/>
            <rFont val="Tahoma"/>
            <family val="2"/>
          </rPr>
          <t xml:space="preserve">David Moore
</t>
        </r>
        <r>
          <rPr>
            <sz val="9"/>
            <color indexed="81"/>
            <rFont val="Tahoma"/>
            <family val="2"/>
          </rPr>
          <t>As of 3/25/2020 Competitor average EV/EBITDA. Using CapitalIQ. Damadoran as of 1/1/2020 lists 13.3 for recreational</t>
        </r>
      </text>
    </comment>
    <comment ref="F100" authorId="0" shapeId="0" xr:uid="{85C15DEF-0269-4DFD-B7B3-F3C54C3D76BF}">
      <text>
        <r>
          <rPr>
            <b/>
            <sz val="9"/>
            <color indexed="81"/>
            <rFont val="Tahoma"/>
            <family val="2"/>
          </rPr>
          <t>David Moore:</t>
        </r>
        <r>
          <rPr>
            <sz val="9"/>
            <color indexed="81"/>
            <rFont val="Tahoma"/>
            <family val="2"/>
          </rPr>
          <t xml:space="preserve">
Closing Price 3/25/2020
</t>
        </r>
      </text>
    </comment>
    <comment ref="F101" authorId="0" shapeId="0" xr:uid="{15BC7D02-F344-4610-A7D5-6677605D6F66}">
      <text>
        <r>
          <rPr>
            <b/>
            <sz val="9"/>
            <color indexed="81"/>
            <rFont val="Tahoma"/>
            <family val="2"/>
          </rPr>
          <t>David Moore:</t>
        </r>
        <r>
          <rPr>
            <sz val="9"/>
            <color indexed="81"/>
            <rFont val="Tahoma"/>
            <family val="2"/>
          </rPr>
          <t xml:space="preserve">
10-K FYE 12/28/2019
</t>
        </r>
      </text>
    </comment>
    <comment ref="F109" authorId="0" shapeId="0" xr:uid="{E8305597-4C8C-432C-9638-F881EC5AFC69}">
      <text>
        <r>
          <rPr>
            <b/>
            <sz val="9"/>
            <color indexed="81"/>
            <rFont val="Tahoma"/>
            <family val="2"/>
          </rPr>
          <t>David Moore:</t>
        </r>
        <r>
          <rPr>
            <sz val="9"/>
            <color indexed="81"/>
            <rFont val="Tahoma"/>
            <family val="2"/>
          </rPr>
          <t xml:space="preserve">
From Damadoran Market Update Viral 3 YouTube slides. </t>
        </r>
      </text>
    </comment>
    <comment ref="F114" authorId="0" shapeId="0" xr:uid="{914F59A2-62E3-47B0-86C4-08DFF1B86526}">
      <text>
        <r>
          <rPr>
            <b/>
            <sz val="9"/>
            <color indexed="81"/>
            <rFont val="Tahoma"/>
            <family val="2"/>
          </rPr>
          <t>David Moore:</t>
        </r>
        <r>
          <rPr>
            <sz val="9"/>
            <color indexed="81"/>
            <rFont val="Tahoma"/>
            <family val="2"/>
          </rPr>
          <t xml:space="preserve">
US Treasury 10-year as of end of day 3/25/2020
</t>
        </r>
      </text>
    </comment>
    <comment ref="H125" authorId="0" shapeId="0" xr:uid="{EA782B20-0FF3-4F67-9ECC-00B969962307}">
      <text>
        <r>
          <rPr>
            <b/>
            <sz val="9"/>
            <color indexed="81"/>
            <rFont val="Tahoma"/>
            <family val="2"/>
          </rPr>
          <t>David Moore:</t>
        </r>
        <r>
          <rPr>
            <sz val="9"/>
            <color indexed="81"/>
            <rFont val="Tahoma"/>
            <family val="2"/>
          </rPr>
          <t xml:space="preserve">
From Yahoo finance, 5-year monthly data. 3/25/2020
</t>
        </r>
      </text>
    </comment>
  </commentList>
</comments>
</file>

<file path=xl/sharedStrings.xml><?xml version="1.0" encoding="utf-8"?>
<sst xmlns="http://schemas.openxmlformats.org/spreadsheetml/2006/main" count="882" uniqueCount="429">
  <si>
    <t>SG&amp;A expenses (as % of revenues)</t>
  </si>
  <si>
    <t>COGS (as % of revenues)</t>
  </si>
  <si>
    <t>Sales Growth</t>
  </si>
  <si>
    <t>Step</t>
  </si>
  <si>
    <t>Terminal growth rate</t>
  </si>
  <si>
    <t>Terminal Value - Perpetuity Growth</t>
  </si>
  <si>
    <t>Non-cash NWC as a % of Sale</t>
  </si>
  <si>
    <t>Projected</t>
  </si>
  <si>
    <t>Historical</t>
  </si>
  <si>
    <t>Change in NWC</t>
  </si>
  <si>
    <t>Non-cash Net Working Capital</t>
  </si>
  <si>
    <t>Total non-debt current liabilities</t>
  </si>
  <si>
    <t>Total current liabilities</t>
  </si>
  <si>
    <t>Total non-cash current assets</t>
  </si>
  <si>
    <t>Total current assets</t>
  </si>
  <si>
    <t>WORKING CAPITAL SCHEDULE</t>
  </si>
  <si>
    <t>Implied Equity Value per Share</t>
  </si>
  <si>
    <t>Diluted Shares Outstanding</t>
  </si>
  <si>
    <t>Implied Equity Value</t>
  </si>
  <si>
    <t>Net debt + Preferred stock + NCI</t>
  </si>
  <si>
    <t>Total Enterprise Value</t>
  </si>
  <si>
    <t>PV of Unlevered Free Cash Flows</t>
  </si>
  <si>
    <t>PV of Terminal Value</t>
  </si>
  <si>
    <t>Terminal value</t>
  </si>
  <si>
    <t>Terminal year EBITDA multiple</t>
  </si>
  <si>
    <t>Terminal year EBITDA</t>
  </si>
  <si>
    <t>Unlevered FCF in terminal year</t>
  </si>
  <si>
    <t>Terminal Value - Exit Multiple</t>
  </si>
  <si>
    <t>TERMINAL VALUE AND EQUITY VALUE PER SHARE</t>
  </si>
  <si>
    <t>Gross margin</t>
  </si>
  <si>
    <t>Depreciation and amortization (as % of capex)</t>
  </si>
  <si>
    <t>Capex (as % of revenues)</t>
  </si>
  <si>
    <t>Assumptions</t>
  </si>
  <si>
    <t>Unlevered free cash flows</t>
  </si>
  <si>
    <t>Change in Net Working Capital</t>
  </si>
  <si>
    <t>Capex</t>
  </si>
  <si>
    <t>Depreciation and amortization</t>
  </si>
  <si>
    <t>Tax-effected EBIT</t>
  </si>
  <si>
    <t>Taxes</t>
  </si>
  <si>
    <t>EBIT</t>
  </si>
  <si>
    <t>Gross Profit</t>
  </si>
  <si>
    <t>Cost of goods sold</t>
  </si>
  <si>
    <t>Net sales</t>
  </si>
  <si>
    <t>FORECASTING CASH FLOWS</t>
  </si>
  <si>
    <t>Year end shares outstanding</t>
  </si>
  <si>
    <t>Income taxes paid</t>
  </si>
  <si>
    <t>Accounts payable</t>
  </si>
  <si>
    <t>Prepaid expenses &amp; other current assets</t>
  </si>
  <si>
    <t>Deferred income taxes</t>
  </si>
  <si>
    <t>Depreciation &amp; amortization</t>
  </si>
  <si>
    <t>Retained earnings (accumulated deficit)</t>
  </si>
  <si>
    <t>Additional paid-in capital</t>
  </si>
  <si>
    <t>Common stock</t>
  </si>
  <si>
    <t>Total liabilities</t>
  </si>
  <si>
    <t>Total assets</t>
  </si>
  <si>
    <t>Intangible assets, net</t>
  </si>
  <si>
    <t>Goodwill</t>
  </si>
  <si>
    <t>DILUTED SHARES</t>
  </si>
  <si>
    <t>Basic share count</t>
  </si>
  <si>
    <t>Exercise price</t>
  </si>
  <si>
    <t>Current share price</t>
  </si>
  <si>
    <t>Total proceeds</t>
  </si>
  <si>
    <t>Total shares repurchased</t>
  </si>
  <si>
    <t>Diluted shares outstanding</t>
  </si>
  <si>
    <t>WACC</t>
  </si>
  <si>
    <t>Current</t>
  </si>
  <si>
    <t>Percent of Capital</t>
  </si>
  <si>
    <t>Total debt</t>
  </si>
  <si>
    <t>Share price</t>
  </si>
  <si>
    <t>Market value of equity</t>
  </si>
  <si>
    <t>Weight of debt</t>
  </si>
  <si>
    <t>Weight of equity</t>
  </si>
  <si>
    <t>Cost of debt</t>
  </si>
  <si>
    <t>Pre-tax cost of debt</t>
  </si>
  <si>
    <t>Marginal tax rate</t>
  </si>
  <si>
    <t>Cost of equity</t>
  </si>
  <si>
    <t>Risk-free rate</t>
  </si>
  <si>
    <t>Market risk premium (Rm - Rf)</t>
  </si>
  <si>
    <t>Beta</t>
  </si>
  <si>
    <t>Weighted average cost of capital</t>
  </si>
  <si>
    <t>BOTTOM UP BETA</t>
  </si>
  <si>
    <t>MV</t>
  </si>
  <si>
    <t>Book Value</t>
  </si>
  <si>
    <t>Debt/</t>
  </si>
  <si>
    <t>Reg</t>
  </si>
  <si>
    <t>Unlevered</t>
  </si>
  <si>
    <t xml:space="preserve">Marginal </t>
  </si>
  <si>
    <t>Company</t>
  </si>
  <si>
    <t>Equity</t>
  </si>
  <si>
    <t>Debt</t>
  </si>
  <si>
    <t>Tax Rate</t>
  </si>
  <si>
    <t>Average unlevered beta</t>
  </si>
  <si>
    <t>x</t>
  </si>
  <si>
    <t>Shares outstanding</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</si>
  <si>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</si>
  <si>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</si>
  <si>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</si>
  <si>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</si>
  <si>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</si>
  <si>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</si>
  <si>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</si>
  <si>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</si>
  <si>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</si>
  <si>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</si>
  <si>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</si>
  <si>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</si>
  <si>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</si>
  <si>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</si>
  <si>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</si>
  <si>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</si>
  <si>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</si>
  <si>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</si>
  <si>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</si>
  <si>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</si>
  <si>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</si>
  <si>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</si>
  <si>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</si>
  <si>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</si>
  <si>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</si>
  <si>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</si>
  <si>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</si>
  <si>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</si>
  <si>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Option Drag</t>
  </si>
  <si>
    <t>Implied Equity Value (Using TV)</t>
  </si>
  <si>
    <t>Basic Shares</t>
  </si>
  <si>
    <t>Value of Options</t>
  </si>
  <si>
    <t>Treasury Outstanding Options</t>
  </si>
  <si>
    <t>Treasury Method- All Outstanding Options</t>
  </si>
  <si>
    <t>Oustanding options</t>
  </si>
  <si>
    <t>Total Proceeds</t>
  </si>
  <si>
    <t>Circuit Breaker</t>
  </si>
  <si>
    <t>OFF</t>
  </si>
  <si>
    <t>Enter the number of options outstanding =</t>
  </si>
  <si>
    <t>SENSITIVITY ANALYSIS</t>
  </si>
  <si>
    <t>g</t>
  </si>
  <si>
    <t>Best_Case</t>
  </si>
  <si>
    <t>Scenario Summary</t>
  </si>
  <si>
    <t>Changing Cells:</t>
  </si>
  <si>
    <t>Result Cells:</t>
  </si>
  <si>
    <t>Valuation with Public Comparables</t>
  </si>
  <si>
    <t>Enterprise Value Multiples</t>
  </si>
  <si>
    <t>Equity Value Multiples</t>
  </si>
  <si>
    <t>Market Value</t>
  </si>
  <si>
    <t>Enterprise</t>
  </si>
  <si>
    <t>LTM</t>
  </si>
  <si>
    <t>Forward</t>
  </si>
  <si>
    <t>5 year growth</t>
  </si>
  <si>
    <t>Ticker</t>
  </si>
  <si>
    <t>of Equity</t>
  </si>
  <si>
    <t>Value</t>
  </si>
  <si>
    <t>EPS</t>
  </si>
  <si>
    <t>P/E</t>
  </si>
  <si>
    <t>rate</t>
  </si>
  <si>
    <t>High</t>
  </si>
  <si>
    <t>Mean</t>
  </si>
  <si>
    <t>Median</t>
  </si>
  <si>
    <t>Low</t>
  </si>
  <si>
    <t>Implied price per share</t>
  </si>
  <si>
    <t>Implied Enterprise Value</t>
  </si>
  <si>
    <t>Range of Forward P/E</t>
  </si>
  <si>
    <t>LTM Calculations For</t>
  </si>
  <si>
    <t>Fiscal year ended</t>
  </si>
  <si>
    <t>Revenues</t>
  </si>
  <si>
    <t>EBITDA</t>
  </si>
  <si>
    <t>As of</t>
  </si>
  <si>
    <t>Net debt</t>
  </si>
  <si>
    <t>Preferred stock</t>
  </si>
  <si>
    <t>Non-controlling Interest</t>
  </si>
  <si>
    <t>BV</t>
  </si>
  <si>
    <t>PEG</t>
  </si>
  <si>
    <t>Range of EV/EBITDA</t>
  </si>
  <si>
    <t>Range of EV/Sales</t>
  </si>
  <si>
    <t>Range of Forward PEG</t>
  </si>
  <si>
    <t>Range of Price-to-Book</t>
  </si>
  <si>
    <t>EV/EBITDA</t>
  </si>
  <si>
    <t>EV/Sales</t>
  </si>
  <si>
    <t>Price(Market)-</t>
  </si>
  <si>
    <t>to-Book</t>
  </si>
  <si>
    <t>Source</t>
  </si>
  <si>
    <t>List of Possible Competitors</t>
  </si>
  <si>
    <t>Business Description</t>
  </si>
  <si>
    <t>Exchange</t>
  </si>
  <si>
    <t>Mergent</t>
  </si>
  <si>
    <t>Include (Y/N)</t>
  </si>
  <si>
    <t>N</t>
  </si>
  <si>
    <t>Cash/MS</t>
  </si>
  <si>
    <t>Total Assets</t>
  </si>
  <si>
    <t>Excess Cash</t>
  </si>
  <si>
    <t xml:space="preserve">Cash/MS as </t>
  </si>
  <si>
    <t>% of TA</t>
  </si>
  <si>
    <t>Capital IQ</t>
  </si>
  <si>
    <t>Proxy Statements</t>
  </si>
  <si>
    <t>Y</t>
  </si>
  <si>
    <t>NASDAQ</t>
  </si>
  <si>
    <t>NYSE</t>
  </si>
  <si>
    <t>Proxy Statement</t>
  </si>
  <si>
    <t>Industry (SIC code)</t>
  </si>
  <si>
    <t>ValuEngine</t>
  </si>
  <si>
    <t>Sector</t>
  </si>
  <si>
    <t>Industry</t>
  </si>
  <si>
    <t>Seeking Alpha</t>
  </si>
  <si>
    <t>Peers</t>
  </si>
  <si>
    <t>9-months ended</t>
  </si>
  <si>
    <t>Range of EV/EBIT</t>
  </si>
  <si>
    <t>EV/EBIT</t>
  </si>
  <si>
    <t>Growth?</t>
  </si>
  <si>
    <t>Yeti 10K</t>
  </si>
  <si>
    <t>Igloo coolers (AKON Investments - private)
Coleman Coolers (Newell Brands)
Pelican Products (Private)
Otter Products (Private)
Tervis (Private)
Hydroflask (Helen of Troy)</t>
  </si>
  <si>
    <t>120 firms</t>
  </si>
  <si>
    <t>Morningstar</t>
  </si>
  <si>
    <t>Cyclical Consumer Goods &amp; Services</t>
  </si>
  <si>
    <t>Recreational Products</t>
  </si>
  <si>
    <r>
      <t xml:space="preserve">Chewy Inc
</t>
    </r>
    <r>
      <rPr>
        <b/>
        <sz val="10"/>
        <rFont val="Arial"/>
        <family val="2"/>
      </rPr>
      <t>Canada Goose Holdings Inc</t>
    </r>
    <r>
      <rPr>
        <sz val="10"/>
        <rFont val="Arial"/>
        <family val="2"/>
      </rPr>
      <t xml:space="preserve">
Pinterest, Inc
Levi Strauss &amp; Co</t>
    </r>
  </si>
  <si>
    <r>
      <rPr>
        <b/>
        <sz val="10"/>
        <rFont val="Arial"/>
        <family val="2"/>
      </rPr>
      <t>Clarus Corp (New)</t>
    </r>
    <r>
      <rPr>
        <sz val="10"/>
        <rFont val="Arial"/>
        <family val="2"/>
      </rPr>
      <t xml:space="preserve">
Escalade, Inc.
Track 'N Trail, Inc.
PTI Holding Inc
Western Metals Corp
Bollinger Industries Inc
Brite Strike Tactical Illumination Products Inc
Forefront Holdings Inc
B.U.M. International, Inc.
Koala Corp.
Pacific Bepure Industry Inc.
Leatt Corp</t>
    </r>
  </si>
  <si>
    <r>
      <t xml:space="preserve">Pool Corp
Hasbro Inc
</t>
    </r>
    <r>
      <rPr>
        <b/>
        <sz val="10"/>
        <rFont val="Arial"/>
        <family val="2"/>
      </rPr>
      <t>Peleton Interactive Inc</t>
    </r>
  </si>
  <si>
    <r>
      <rPr>
        <b/>
        <sz val="10"/>
        <rFont val="Arial"/>
        <family val="2"/>
      </rPr>
      <t>Peleton Interactive</t>
    </r>
    <r>
      <rPr>
        <sz val="10"/>
        <rFont val="Arial"/>
        <family val="2"/>
      </rPr>
      <t xml:space="preserve">
</t>
    </r>
    <r>
      <rPr>
        <b/>
        <sz val="10"/>
        <rFont val="Arial"/>
        <family val="2"/>
      </rPr>
      <t>Brunswick Corp</t>
    </r>
    <r>
      <rPr>
        <sz val="10"/>
        <rFont val="Arial"/>
        <family val="2"/>
      </rPr>
      <t xml:space="preserve">
</t>
    </r>
    <r>
      <rPr>
        <b/>
        <sz val="10"/>
        <rFont val="Arial"/>
        <family val="2"/>
      </rPr>
      <t>Acushnet Holdings</t>
    </r>
    <r>
      <rPr>
        <sz val="10"/>
        <rFont val="Arial"/>
        <family val="2"/>
      </rPr>
      <t xml:space="preserve">
</t>
    </r>
    <r>
      <rPr>
        <b/>
        <sz val="10"/>
        <rFont val="Arial"/>
        <family val="2"/>
      </rPr>
      <t>Callaway Golf</t>
    </r>
  </si>
  <si>
    <r>
      <t xml:space="preserve">MasterCraft Boat Holdings, Inc. (NasdaqGM:MCFT)
Bestway Global Holding Inc. (SEHK:3358)
</t>
    </r>
    <r>
      <rPr>
        <b/>
        <sz val="10"/>
        <rFont val="Arial"/>
        <family val="2"/>
      </rPr>
      <t>Brunswick Corporation (NYSE:BC)</t>
    </r>
    <r>
      <rPr>
        <sz val="10"/>
        <rFont val="Arial"/>
        <family val="2"/>
      </rPr>
      <t xml:space="preserve">
</t>
    </r>
    <r>
      <rPr>
        <b/>
        <sz val="10"/>
        <rFont val="Arial"/>
        <family val="2"/>
      </rPr>
      <t>Clarus Corporation (NasdaqGS:CLAR)</t>
    </r>
  </si>
  <si>
    <r>
      <t xml:space="preserve">Dick's Sporting Goods, Inc
</t>
    </r>
    <r>
      <rPr>
        <b/>
        <sz val="10"/>
        <rFont val="Arial"/>
        <family val="2"/>
      </rPr>
      <t>Brunswick Corp</t>
    </r>
    <r>
      <rPr>
        <sz val="10"/>
        <rFont val="Arial"/>
        <family val="2"/>
      </rPr>
      <t xml:space="preserve">.
</t>
    </r>
    <r>
      <rPr>
        <b/>
        <sz val="10"/>
        <rFont val="Arial"/>
        <family val="2"/>
      </rPr>
      <t>lululemon athletica inc
Vista Outdoor Inc
Callaway Golf Co (DE)</t>
    </r>
    <r>
      <rPr>
        <sz val="10"/>
        <rFont val="Arial"/>
        <family val="2"/>
      </rPr>
      <t xml:space="preserve">
</t>
    </r>
    <r>
      <rPr>
        <b/>
        <sz val="10"/>
        <rFont val="Arial"/>
        <family val="2"/>
      </rPr>
      <t>Acushnet Holdings Corp</t>
    </r>
    <r>
      <rPr>
        <sz val="10"/>
        <rFont val="Arial"/>
        <family val="2"/>
      </rPr>
      <t xml:space="preserve">
ICON Health &amp; Fitness, Inc.
IHF Holdings, Inc.
Icon Fitness Corp.
MasterCraft Boat Holdings Inc
RDM Sports Group, Inc.
Nautilus Inc
</t>
    </r>
  </si>
  <si>
    <r>
      <rPr>
        <b/>
        <sz val="10"/>
        <rFont val="Arial"/>
        <family val="2"/>
      </rPr>
      <t>Acushnet Holdings Corp.</t>
    </r>
    <r>
      <rPr>
        <sz val="10"/>
        <rFont val="Arial"/>
        <family val="2"/>
      </rPr>
      <t xml:space="preserve">
American Outdoor Brands Corp
</t>
    </r>
    <r>
      <rPr>
        <b/>
        <sz val="10"/>
        <rFont val="Arial"/>
        <family val="2"/>
      </rPr>
      <t>Brunswick Corp.</t>
    </r>
    <r>
      <rPr>
        <sz val="10"/>
        <rFont val="Arial"/>
        <family val="2"/>
      </rPr>
      <t xml:space="preserve">
</t>
    </r>
    <r>
      <rPr>
        <b/>
        <sz val="10"/>
        <rFont val="Arial"/>
        <family val="2"/>
      </rPr>
      <t>Callaway Golf Company</t>
    </r>
    <r>
      <rPr>
        <sz val="10"/>
        <rFont val="Arial"/>
        <family val="2"/>
      </rPr>
      <t xml:space="preserve">
</t>
    </r>
    <r>
      <rPr>
        <b/>
        <sz val="10"/>
        <rFont val="Arial"/>
        <family val="2"/>
      </rPr>
      <t>Canada Goose Holdings Inc.</t>
    </r>
    <r>
      <rPr>
        <sz val="10"/>
        <rFont val="Arial"/>
        <family val="2"/>
      </rPr>
      <t xml:space="preserve">
Capri Holdings Ltd.
</t>
    </r>
    <r>
      <rPr>
        <b/>
        <sz val="10"/>
        <rFont val="Arial"/>
        <family val="2"/>
      </rPr>
      <t>Columbia Sportswear Company</t>
    </r>
    <r>
      <rPr>
        <sz val="10"/>
        <rFont val="Arial"/>
        <family val="2"/>
      </rPr>
      <t xml:space="preserve">
Crocs, Inc.
Deckers Outdoor Corp.
</t>
    </r>
  </si>
  <si>
    <t>Callaway Golf Company (ELY)</t>
  </si>
  <si>
    <t>Proxy, Mergent, Capital IQ, ValuEngine</t>
  </si>
  <si>
    <t xml:space="preserve"> Callaway Golf Company, together with its subsidiaries,  
designs, manufactures, and sells golf clubs and golf  
balls, apparel, gear, and other products. It operates  
through two segments, Golf Equipment; and Apparel,  
Gear and Other. The Golf Equipment segment provides  
drivers, fairway woods, hybrids, irons, wedges and  
packaged sets, putters, and pre-owned golf clubs under  
the Callaway and Odyssey brands, as well as golf balls  
under the Callaway Golf and Strata brand names. The  
Apparel, Gear and Other segment offers golf apparel  
and footwear; golf accessories, including golf bags,  
golf gloves, headwear, and practice aids under the  
Callaway brand; and golf and lifestyle apparel, hats,  
luggage and accessories, footwear, belts, hats, socks,  
and underwear under the TravisMathew brand name. This  
segment also provides storage gear for sport and personal  
use, including backpacks; travel, duffel, and golf  
bags; and storage gear accessories, as well as outerwear,  
headwear, and accessories under the OGIO brand. In  
addition, it offers outdoor apparel, such as jackets,  
and trousers and tops; and footwear and outdoor equipment,  
including packs and bags, travel bags, tents, sleeping  
bags, and accessories. The company sells its products  
through golf retailers, sporting goods retailers,  
mass merchants, Internet retailers, department stores,  
field representatives, on-line retailers, mail order  
stores, and in-house sales representatives, as well  
as to third-party distributors in the United States  
and approximately 100 countries. It also offers pre-owned  
golf products through its Website callawaygolfpreowned.com;  
and OGIO and TravisMathew products through its Websites  
callawaygolf.com, odysseygolf.com, ogio.com, and travismathew.com.  
The company was incorporated in 1982 and is headquartered  
in Carlsbad, California</t>
  </si>
  <si>
    <t>Listed by YETI</t>
  </si>
  <si>
    <t>Lists YETI</t>
  </si>
  <si>
    <t>Asset Risk?</t>
  </si>
  <si>
    <t>Clarus Corp (CLAR)</t>
  </si>
  <si>
    <t>Mergent, Capital IQ</t>
  </si>
  <si>
    <t>Clarus Corporation focuses on the outdoor and consumer  
industries in the United States, Canada, Europe, the  
Middle East, Asia, Australia, New Zealand, Africa,  
and South America. The company develops, manufactures,  
and distributes outdoor equipment and lifestyle products  
focusing on the climb, ski, mountain, sport, and skincare  
markets. It operates in two segments, Black Diamond  
and Sierra. The Black Diamond segment offers activity-based  
apparel, such as shells, insulation, midlayers, pants,  
and logowear; rock-climbing footwear and equipment,  
including carabiners, protection devices, harnesses,  
belay devices, helmets, and ice-climbing gears; technical  
backpacks and day packs; trekking poles; headlamps  
and lanterns; gloves and mittens; skincare and other  
sport-enhancing products; and skis, ski poles, ski  
skins, and snow safety products, such as avalanche  
airbag systems, avalanche transceivers, shovels, and  
probes. This segment offers its products for climbing,  
mountaineering, trail running, backpacking, skiing,  
and other outdoor recreation activities under the  
Black Diamond, PIEPS, and SKINourishment brands. The  
Sierra segment manufactures bullets and ammunition  
products for rifles and pistols, which are used for  
precision target shooting, hunting, and military and  
law enforcement purposes under the Sierra brand. The  
company sells its products to mountain, rock, ice,  
and gym climbers; and winter outdoor enthusiasts,  
backpackers, competitive shooters, hunters, and outdoor-inspired  
consumers. It markets and distributes its products  
through independent specialty stores and specialty  
chains, sporting goods and outdoor recreation stores,  
distributors, and original equipment manufacturers;  
and independent distributors, as well as directly  
to customers through its websites. The company was  
formerly known as Black Diamond, Inc. and changed  
its name to Clarus Corporation in August 2017. Clarus  
Corporation was incorporated in 1991 and is headquartered  
in Salt Lake City, Utah.</t>
  </si>
  <si>
    <t>Acushnet Holdings Corp (GOLF)</t>
  </si>
  <si>
    <t>Peleton Interactive Inc (PTON)</t>
  </si>
  <si>
    <t>Vista Outdoor Inc. (VSTO)</t>
  </si>
  <si>
    <t>Lululemon Athletica Inc (LULU)</t>
  </si>
  <si>
    <t>Canada Goose Holdings Inc. (GOOS)</t>
  </si>
  <si>
    <t>Brunswick Corporation (BC)</t>
  </si>
  <si>
    <t>Johnson Outdoors Inc (JOUT)</t>
  </si>
  <si>
    <t>Columbia Sportswear Company (COLM)</t>
  </si>
  <si>
    <t>Under Armour, Inc. (UAA)</t>
  </si>
  <si>
    <t>Acushnet Holdings Corp. designs, develops, manufactures,  
and distributes golf products in the United States,  
Europe, the Middle East, Africa, Japan, Korea, and  
internationally. The company operates through four  
segments: Titleist Golf Balls, Titleist Golf Clubs,  
Titleist Golf Gear, and FootJoy Golf Wear. The Titleist  
Golf Balls segment offers golf balls, such as Pro  
V1, Pro V1x, AVX, Tour Soft, Velocity, and Pinnacle  
golf balls, as well as provides custom imprinted golf  
balls with corporate logos, tournament logos, country  
club or resort logos, and personalization on Titleist  
and Pinnacle golf balls. The Titleist Golf Clubs segment  
designs, assembles, and sells golf clubs, such as  
drivers, fairways, hybrids, and irons under the Titleist  
brand; wedges under the Vokey Design brand; and putters  
under Scotty Cameron brand. The Titleist Golf Gear  
segment designs and develops golf bags, headwear,  
golf gloves, travel gears, head covers, and other  
golf accessories, as well as offers customization  
and personalization of products in Titleist golf gear.  
The FootJoy Golf Wear segment provides shoes, such  
as traditional, spikeless, athletic, and casual shoes;  
gloves that include leather construction, synthetic,  
leather/synthetic combination, and specialty gloves;  
and outerwear and apparels, such as performance outerwear,  
performance golf apparels, and men’s and women’s golf  
apparels. It sells its products through golf shops  
and golf specialty retailers, as well as through representatives,  
other qualified retailers, and online. The company  
was formerly known as Alexandria Holdings Corp. and  
changed its name to Acushnet Holdings Corp. in March  
2016. Acushnet Holdings Corp. was founded in 1910  
and is headquartered in Fairhaven, Massachusetts.</t>
  </si>
  <si>
    <t xml:space="preserve"> Peloton Interactive, Inc. provides interactive fitness  
products in North America. It offers connected fitness  
products, such as the Peloton Bike and the Peloton  
Tread, which include touchscreen that streams live  
and on-demand classes. The company also provides connected  
fitness subscriptions for multiple household users,  
and access to all live and on-demand classes, as well  
as Peloton Digital app for connected fitness subscribers  
to provide access to its classes. It has approximately  
1.4 million members. The company markets and sells  
its interactive fitness products directly through  
its retail showrooms and at onepeloton.com Peloton  
Interactive, Inc. was founded in 2012 and is headquartered  
in New York, New York</t>
  </si>
  <si>
    <t>Morningstar, Capital IQ, ValuEngine</t>
  </si>
  <si>
    <t>N/A</t>
  </si>
  <si>
    <t>Proxy, Mergent</t>
  </si>
  <si>
    <t xml:space="preserve"> Vista Outdoor Inc. designs, manufactures, and markets  
consumer products for outdoor sports and recreation  
markets in the United States and internationally.  
The company operates through Outdoor Products and  
Shooting Sports segments. The Outdoor Products segment  
offer sports products for action sports, including  
helmets, goggles, and accessories for cycling, snow,  
action, and power sports; archery/hunting accessories,  
such as hunting arrows, game calls, hunting blinds,  
game cameras, and waterfowl decoys; outdoor cooking  
solutions; golf products, such as laser rangefinders;  
hydration products comprising hydration packs and  
water bottles; optical products, such as binoculars,  
riflescopes, and telescopes; shooting accessories,  
including reloading equipment, clay targets, and premium  
gun care products; and tactical products, such as  
holsters, duty gear, bags, and packs. The Shooting  
Sports segment designs, develops, produces, and sources  
ammunition and firearms for the hunting and sport  
shooting enthusiast markets, as well as ammunition  
for local law enforcement, the United States government,  
and international markets. This segment’s product  
line includes centerfire ammunition, rimfire ammunition,  
shotshell ammunition, reloading components, and firearms.  
The company sells its products to outdoor enthusiasts,  
hunters and recreational shooters, athletes, and law  
enforcement and military professionals through various  
mass, specialty, and independent retailers and distributors.  
Vista Outdoor Inc. was incorporated in 2014 and is  
headquartered in Anoka, Minnesota.</t>
  </si>
  <si>
    <t xml:space="preserve"> lululemon athletica inc., together with its subsidiaries,  
designs, distributes, and retails athletic apparel  
and accessories for women, men, and female youth.  
It operates through two segments, Company-Operated  
Stores and Direct to Consumer. The company offers  
pants, shorts, tops, and jackets for healthy lifestyle  
and athletic activities, such as yoga, running, and  
training, as well as other sweaty pursuits; and athletic  
wear for female youth. It also provides fitness-related  
accessories. The company sells its products through  
a chain of company-operated stores; outlets and warehouse  
sales; a network of wholesale accounts, such as yoga  
studios, health clubs, and fitness centers; temporary  
locations, including seasonal stores; and license  
and supply arrangements, as well as directly to consumer  
through mobile apps, and lululemon.com e-commerce  
site. As of February 2, 2020, it operated 491 company-operated  
stores under the lululemon and ivivva brands in the  
United States, Canada, the People's Republic of China,  
Australia, the United Kingdom, Japan, New Zealand,  
Germany, South Korea, Singapore, France, Malaysia,  
Sweden, Ireland, the Netherlands, Norway, and Switzerland.  
lululemon athletica inc. was founded in 1998 and is  
based in Vancouver, Canada.</t>
  </si>
  <si>
    <t>Proxy, Seeking Alpha</t>
  </si>
  <si>
    <t xml:space="preserve"> Canada Goose Holdings Inc. designs, manufactures, and  
sells premium outdoor apparel for men, women, youth,  
children, and babies. The company operates in two  
segments, Wholesale and Direct to Consumer. It offers  
parkas, jackets, shells, vests, knitwear, footwear,  
and accessories for fall, winter, and spring seasons.  
As of May 29, 2019, it operated 11 retail stores.  
The company also sells its products through e-commerce  
in 12 countries. Canada Goose Holdings Inc. was founded  
in 1957 and is headquartered in Toronto, Canada</t>
  </si>
  <si>
    <t xml:space="preserve"> Brunswick Corporation designs, manufactures, and markets  
recreation products worldwide. The company offers  
marine engine products, including outboard, sterndrive,  
and inboard engine and propulsion systems; marine  
electronics and control integration systems, steering  
systems, instruments, controls, propellers, trolling  
motors, fuel systems, electrical systems, service  
parts, and lubricants; and integrated propulsion systems  
to the recreational and commercial marine markets,  
as well as parts and accessories. It provides its  
marine engine products for independent boat builders  
and governments through marine dealers and distributors,  
specialty marine retailers, and marine service centres  
under the Mercury, Mercury MerCruiser, Mercury Racing,  
and MotorGuide brands. The company also offers boats,  
such as fiberglass pleasure, sport cruisers, sport  
fishing and centre-console, offshore fishing, aluminium  
and fiberglass fishing, pontoon, utility, deck, inflatable,  
and heavy-gauge aluminium under the Bayliner, Heyday,  
Boston Whaler, Lund, Crestliner, Cypress Cay, Harris,  
Lowe, Princecraft, and Thunder Jet brands. It provides  
boats for commercial and government customers through  
dealers and distributors. Brunswick Corporation was  
founded in 1845 and is headquartered in Mettawa,   
Illinois. </t>
  </si>
  <si>
    <t xml:space="preserve"> Johnson Outdoors Inc. designs, manufactures, and markets  
camping, diving, watercraft, and marine electronics  
products worldwide. The company’s Fishing segment  
offers electric motors for trolling or primary propulsion,  
marine battery chargers, and shallow water anchors;  
sonar and GPS equipment for fish finding, navigation,  
and marine cartography; and downriggers for controlled-depth  
fishing. This segment sells its products under the  
Minn Kota, Humminbird, and Cannon brands through outdoor  
specialty and Internet retailers, retail store chains,  
marine products distributors, original equipment manufacturers,  
and distributors. Its Camping segment offers consumer,  
commercial, and military tents and accessories; sleeping  
bags; camping furniture and stoves; other recreational  
camping products; and portable outdoor cooking systems,  
as well as acts as a subcontract manufacturer for  
other providers of military tents. This segment sells  
its products under the Eureka! and Jetboil brands  
through independent sales representatives and Internet  
retailers. The company’s Watercraft Recreation segment  
provides kayaks, canoes, and paddles through independent  
specialty and outdoor retailers under the Ocean Kayaks,  
Old Town, and Carlisle brands. Its Diving segment  
manufactures and markets underwater diving and snorkeling  
equipment, including regulators, buoyancy compensators,  
dive computers and gauges, wetsuits, masks, fins,  
snorkels, and accessories under the SCUBAPRO brand  
name. This segment also provides regular maintenance,  
product repair, diving education, and travel program  
services; and sells diving gear to dive training centers,  
resorts, public safety units, and armed forces. It  
sells its products through specialty dive stores and  
diving magazines, as well as through Websites. Johnson  
Outdoors Inc. was founded in 1970 and is headquartered  
in Racine, Wisconsin.</t>
  </si>
  <si>
    <t xml:space="preserve"> Columbia Sportswear Company, together with its subsidiaries,  
designs, sources, markets, and distributes outdoor,  
active, and everyday lifestyle apparel, footwear,  
accessories, and equipment in the United States, Latin  
America, the Asia Pacific, Europe, the Middle East,  
Africa, and Canada. The company provides apparel,  
accessories, and equipment that are used in various  
activities, such as skiing, snowboarding, hiking,  
climbing, mountaineering, camping, hunting, fishing,  
trail running, water sports, yoga, golf, and adventure  
travel. It also offers footwear products that include  
lightweight hiking boots, trail running shoes, rugged  
cold weather boots for activities on snow and ice,  
sandals and shoes for use in water activities, and  
function-first fashion footwear and casual shoes for  
everyday use. The company sells its products under  
the Columbia, Mountain Hard Wear, SOREL, and prAna  
brand names through the company owned network of branded  
and outlet retail stores, brand-specific e-commerce  
sites, and concession-based arrangements with third-parties  
at branded outlet and shop-in-shop retail locations,  
as well as through independently operated specialty  
outdoor and sporting goods stores, sporting goods  
chains, department store chains, Internet retailers,  
and international distributors. As of December 31,  
2019, it operated 143 retail stores. The company was  
founded in 1938 and is headquartered in Portland,  
Oregon. </t>
  </si>
  <si>
    <t xml:space="preserve"> Under Armour, Inc., together with its subsidiaries,  
develops, markets, and distributes branded performance  
apparel, footwear, and accessories for men, women,  
and youth primarily in North America, Europe, the  
Middle East, Africa, the Asia-Pacific, and Latin America.  
The company offers its apparel in compression, fitted,  
and loose types to be worn in hot and cold. It also  
provides various footwear products for running, basketball,  
cleated sports, training, and outdoor. In addition,  
the company offers accessories, which include gloves,  
bags, and headwear; and digital fitness subscriptions,  
as well as digital advertising through MapMyFitness,  
MyFitnessPal, and Endomondo platforms. It primarily  
offers its products under the HEATGEAR, COLDGEAR,  
RUSH or RECOVER, UA Logo, UNDER ARMOUR, UA, ARMOUR,  
PROTECT THIS HOUSE, I WILL, ARMOURBOX, ARMOUR BRA,  
and ARMOUR FLEECE, as well as MyFitnessPal, MapMyFitness,  
and UNDER ARMOUR CONNECTED FITNESS brands. The company  
sells its products through wholesale channels, including  
national and regional sporting goods chains, independent  
and specialty retailers, department store chains,  
institutional athletic departments, and leagues and  
teams, as well as independent distributors; and directly  
to consumers through a network of 388 brand and factory  
house stores, as well as through e-commerce websites.  
Under Armour, Inc. was founded in 1996 and is headquartered  
in Baltimore, Maryland</t>
  </si>
  <si>
    <t>Yes</t>
  </si>
  <si>
    <t>Proxy</t>
  </si>
  <si>
    <r>
      <t xml:space="preserve">Garmin Ltd.
</t>
    </r>
    <r>
      <rPr>
        <b/>
        <sz val="10"/>
        <rFont val="Arial"/>
        <family val="2"/>
      </rPr>
      <t>Johnson Outdoors Inc.</t>
    </r>
    <r>
      <rPr>
        <sz val="10"/>
        <rFont val="Arial"/>
        <family val="2"/>
      </rPr>
      <t xml:space="preserve">
</t>
    </r>
    <r>
      <rPr>
        <b/>
        <sz val="10"/>
        <rFont val="Arial"/>
        <family val="2"/>
      </rPr>
      <t>Lululemon Athletica Inc.</t>
    </r>
    <r>
      <rPr>
        <sz val="10"/>
        <rFont val="Arial"/>
        <family val="2"/>
      </rPr>
      <t xml:space="preserve">
Malibu Boats Inc.
Nautilus Inc.
Polaris Industries inc
Skechers USA, Inc
</t>
    </r>
    <r>
      <rPr>
        <b/>
        <sz val="10"/>
        <rFont val="Arial"/>
        <family val="2"/>
      </rPr>
      <t>Under Armour Inc.</t>
    </r>
    <r>
      <rPr>
        <sz val="10"/>
        <rFont val="Arial"/>
        <family val="2"/>
      </rPr>
      <t xml:space="preserve">
</t>
    </r>
    <r>
      <rPr>
        <b/>
        <sz val="10"/>
        <rFont val="Arial"/>
        <family val="2"/>
      </rPr>
      <t>Vista Outdoor Inc</t>
    </r>
  </si>
  <si>
    <r>
      <rPr>
        <b/>
        <sz val="10"/>
        <rFont val="Arial"/>
        <family val="2"/>
      </rPr>
      <t>Callaway Golf Company (NYSE:ELY)</t>
    </r>
    <r>
      <rPr>
        <sz val="10"/>
        <rFont val="Arial"/>
        <family val="2"/>
      </rPr>
      <t xml:space="preserve">
</t>
    </r>
    <r>
      <rPr>
        <b/>
        <sz val="10"/>
        <rFont val="Arial"/>
        <family val="2"/>
      </rPr>
      <t>Acushnet Holdings Corp. (NYSE:GOLF)</t>
    </r>
    <r>
      <rPr>
        <sz val="10"/>
        <rFont val="Arial"/>
        <family val="2"/>
      </rPr>
      <t xml:space="preserve">
Malibu Boats, Inc. (NasdaqGM:MBUU)
Planet Fitness, Inc. (NYSE:PLNT)
</t>
    </r>
    <r>
      <rPr>
        <b/>
        <sz val="10"/>
        <rFont val="Arial"/>
        <family val="2"/>
      </rPr>
      <t>Peloton Interactive, Inc. (NasdaqGS:PTON)</t>
    </r>
    <r>
      <rPr>
        <sz val="10"/>
        <rFont val="Arial"/>
        <family val="2"/>
      </rPr>
      <t xml:space="preserve">
</t>
    </r>
    <r>
      <rPr>
        <b/>
        <sz val="10"/>
        <rFont val="Arial"/>
        <family val="2"/>
      </rPr>
      <t>Under Armour, Inc. (NYSE:UAA)</t>
    </r>
    <r>
      <rPr>
        <sz val="10"/>
        <rFont val="Arial"/>
        <family val="2"/>
      </rPr>
      <t xml:space="preserve">
</t>
    </r>
  </si>
  <si>
    <t>Proxy, Capital IQ</t>
  </si>
  <si>
    <t>NYSE/TSX</t>
  </si>
  <si>
    <t>Company Name</t>
  </si>
  <si>
    <t>Yeti Holdings Inc</t>
  </si>
  <si>
    <t>YETI</t>
  </si>
  <si>
    <t xml:space="preserve">Valuation Date </t>
  </si>
  <si>
    <t>Fiscal year ends in December USD in thousands except per share data.</t>
  </si>
  <si>
    <t>Selling, general, &amp; administrative expenses</t>
  </si>
  <si>
    <t>Cash</t>
  </si>
  <si>
    <t>Current maturities of long-term debt</t>
  </si>
  <si>
    <t>Operating lease liabilities</t>
  </si>
  <si>
    <t>Treasury with a Twist- All Outstanding Options</t>
  </si>
  <si>
    <t>Outstanding options</t>
  </si>
  <si>
    <t>In-the-money options</t>
  </si>
  <si>
    <t>Unvested RSUs</t>
  </si>
  <si>
    <t>Interest Coverage Ratio</t>
  </si>
  <si>
    <t>Default Spread</t>
  </si>
  <si>
    <t>Clarus Corp</t>
  </si>
  <si>
    <t>CLAR</t>
  </si>
  <si>
    <t>Callaway Golf Company</t>
  </si>
  <si>
    <t>ELY</t>
  </si>
  <si>
    <t>Vista Outdoor Inc</t>
  </si>
  <si>
    <t>VSTO</t>
  </si>
  <si>
    <t>Lululemon Athletica Inc</t>
  </si>
  <si>
    <t>LULU</t>
  </si>
  <si>
    <t>Current Values:</t>
  </si>
  <si>
    <t>Worst_Case</t>
  </si>
  <si>
    <t>Created by David Moore on 3/25/2020</t>
  </si>
  <si>
    <t>Sales Growth 2020</t>
  </si>
  <si>
    <t>Terminal Growth rate</t>
  </si>
  <si>
    <t>Terminal Exit Multiple</t>
  </si>
  <si>
    <t>Equity Risk Premium</t>
  </si>
  <si>
    <t>Implied Equity Value per Share (TV)</t>
  </si>
  <si>
    <t>Implied Equity Value per Share (EM)</t>
  </si>
  <si>
    <t>Yeti Holdings Inc (NYS: YETI)</t>
  </si>
  <si>
    <t xml:space="preserve">Exchange rate used is that of the Year End reported date </t>
  </si>
  <si>
    <t xml:space="preserve">As Reported Annual Income Statement </t>
  </si>
  <si>
    <t>Report Date</t>
  </si>
  <si>
    <t>12/28/2019</t>
  </si>
  <si>
    <t>12/29/2018</t>
  </si>
  <si>
    <t>12/30/2017</t>
  </si>
  <si>
    <t>12/31/2016</t>
  </si>
  <si>
    <t>12/31/2015</t>
  </si>
  <si>
    <t>Currency</t>
  </si>
  <si>
    <t>USD</t>
  </si>
  <si>
    <t>Audit Status</t>
  </si>
  <si>
    <t>Not Qualified</t>
  </si>
  <si>
    <t>Not Available</t>
  </si>
  <si>
    <t>Consolidated</t>
  </si>
  <si>
    <t>Scale</t>
  </si>
  <si>
    <t>Thousands</t>
  </si>
  <si>
    <t>Gross profit</t>
  </si>
  <si>
    <t>Operating income</t>
  </si>
  <si>
    <t>Interest expense</t>
  </si>
  <si>
    <t>Other income (expense)</t>
  </si>
  <si>
    <t>Income before income taxes - domestic</t>
  </si>
  <si>
    <t>-</t>
  </si>
  <si>
    <t>Income before income taxes - foreign</t>
  </si>
  <si>
    <t>Income before income taxes</t>
  </si>
  <si>
    <t>Current federal income taxes</t>
  </si>
  <si>
    <t>Current state income taxes</t>
  </si>
  <si>
    <t>Current foreign income taxes</t>
  </si>
  <si>
    <t>Current income taxes</t>
  </si>
  <si>
    <t>Deferred federal income taxes</t>
  </si>
  <si>
    <t>Deferred state income taxes</t>
  </si>
  <si>
    <t>Deferred foreign income taxes</t>
  </si>
  <si>
    <t>Income tax expense</t>
  </si>
  <si>
    <t>Net income</t>
  </si>
  <si>
    <t>Net income attributable to noncontrolling interest</t>
  </si>
  <si>
    <t>Net income attributable to YETI Holdings, Inc.</t>
  </si>
  <si>
    <t>Weighted average shares outstanding - basic</t>
  </si>
  <si>
    <t>Weighted average shares outstanding - diluted</t>
  </si>
  <si>
    <t>Net earnings per share - basic</t>
  </si>
  <si>
    <t>Net earnings per share - diluted</t>
  </si>
  <si>
    <t>Total number of employees</t>
  </si>
  <si>
    <t>Number of common stockholders</t>
  </si>
  <si>
    <t>Foreign currency translation adjustments</t>
  </si>
  <si>
    <t xml:space="preserve">As Reported Annual Balance Sheet </t>
  </si>
  <si>
    <t>Accounts receivable, gross</t>
  </si>
  <si>
    <t>Allowance for doubtful accounts</t>
  </si>
  <si>
    <t>Accounts receivable, net</t>
  </si>
  <si>
    <t>Inventory</t>
  </si>
  <si>
    <t>Deposits</t>
  </si>
  <si>
    <t>Production molds, tooling, &amp; equipment</t>
  </si>
  <si>
    <t>Furniture, fixtures, &amp; equipment</t>
  </si>
  <si>
    <t>Computer &amp; software</t>
  </si>
  <si>
    <t>Leasehold improvements</t>
  </si>
  <si>
    <t>Finance leases</t>
  </si>
  <si>
    <t>Property &amp; equipment, gross</t>
  </si>
  <si>
    <t>Less: accumulated depreciation</t>
  </si>
  <si>
    <t>Property &amp; equipment, net</t>
  </si>
  <si>
    <t>Operating lease right-of-use assets</t>
  </si>
  <si>
    <t>Deferred charges &amp; other assets</t>
  </si>
  <si>
    <t>Accrued freight &amp; other operating expenses</t>
  </si>
  <si>
    <t>Contract liabilities</t>
  </si>
  <si>
    <t>Customer discounts, allowances &amp; returns</t>
  </si>
  <si>
    <t>Advertising &amp; marketing</t>
  </si>
  <si>
    <t>Warranty reserve</t>
  </si>
  <si>
    <t>Interest payable</t>
  </si>
  <si>
    <t>Other accrued expenses &amp; other current liabilities</t>
  </si>
  <si>
    <t>Accrued expenses &amp; other current liabilities</t>
  </si>
  <si>
    <t>Accrued expenses</t>
  </si>
  <si>
    <t>Accrued payroll &amp; related costs</t>
  </si>
  <si>
    <t>Taxes payable</t>
  </si>
  <si>
    <t>Other current liabilities</t>
  </si>
  <si>
    <t>Revolving credit facility</t>
  </si>
  <si>
    <t>Term loan</t>
  </si>
  <si>
    <t>Finance lease debt</t>
  </si>
  <si>
    <t>Debt owed to Rambler On</t>
  </si>
  <si>
    <t>Current maturities of finance lease debt</t>
  </si>
  <si>
    <t>Total long-term debt</t>
  </si>
  <si>
    <t>Unamortized deferred financing fees</t>
  </si>
  <si>
    <t>Long-term debt, net of current portion</t>
  </si>
  <si>
    <t>Operating lease liabilities, non-current</t>
  </si>
  <si>
    <t>Other liabilities</t>
  </si>
  <si>
    <t>Accumulated other comprehensive income (loss)</t>
  </si>
  <si>
    <t>Total YETI Holdings, Inc. stockholders' deficit</t>
  </si>
  <si>
    <t>Non-controlling interests</t>
  </si>
  <si>
    <t>Total equity (deficit)</t>
  </si>
  <si>
    <t xml:space="preserve">As Reported Annual Cash Flow </t>
  </si>
  <si>
    <t>Amortization of deferred financing fees</t>
  </si>
  <si>
    <t>Stock based compensation</t>
  </si>
  <si>
    <t>Impairment of long-lived assets</t>
  </si>
  <si>
    <t>Excess tax benefit from stock-based compensation plan</t>
  </si>
  <si>
    <t>Change in fair value of contingent consideration payable</t>
  </si>
  <si>
    <t>Loss on modification or extinguishment of debt</t>
  </si>
  <si>
    <t>Changes in operating assets &amp; liabilities</t>
  </si>
  <si>
    <t>Other current assets</t>
  </si>
  <si>
    <t>Accounts payable &amp; accrued expenses</t>
  </si>
  <si>
    <t>Other cash flow from operating activities</t>
  </si>
  <si>
    <t>Net cash flow from operating activities</t>
  </si>
  <si>
    <t>Purchases of property &amp; equipment</t>
  </si>
  <si>
    <t>Reductions (additions) to intangible assets</t>
  </si>
  <si>
    <t>Cash paid to Rambler On for acquisition</t>
  </si>
  <si>
    <t>Proceeds from sale of long-lived assets</t>
  </si>
  <si>
    <t>Cash of Rambler On at consolidation</t>
  </si>
  <si>
    <t>Other from investing activities</t>
  </si>
  <si>
    <t>Net cash (used in) flows from investing activities</t>
  </si>
  <si>
    <t>Proceeds from borrowings on term loan A in connection with amendment</t>
  </si>
  <si>
    <t>Repayments of term loan A in connection with amendment</t>
  </si>
  <si>
    <t>Changes in revolving line of credit</t>
  </si>
  <si>
    <t>Proceeds from issuance of long-term debt</t>
  </si>
  <si>
    <t>Repayments of long-term debt</t>
  </si>
  <si>
    <t>Payments of deferred financing fees</t>
  </si>
  <si>
    <t>Cash paid for repurchase of common stock</t>
  </si>
  <si>
    <t>Proceeds from employee exercise of stock options</t>
  </si>
  <si>
    <t>Taxes paid in connection with employee stock transactions</t>
  </si>
  <si>
    <t>Repurchase of forfeited employee stock options</t>
  </si>
  <si>
    <t>Proceeds from issuance of common shares</t>
  </si>
  <si>
    <t>Repayments of contingent consideration from acquisition</t>
  </si>
  <si>
    <t>Options dividends</t>
  </si>
  <si>
    <t>Finance lease principal payment</t>
  </si>
  <si>
    <t>Net cash (used in) flows from financing activities</t>
  </si>
  <si>
    <t>Changes related to acquisition of Rambler On</t>
  </si>
  <si>
    <t>Total noncash investing activities</t>
  </si>
  <si>
    <t>Effect of exchange rate changes on cash</t>
  </si>
  <si>
    <t>Net increase (decrease) in cash</t>
  </si>
  <si>
    <t>Cash, beginning of period</t>
  </si>
  <si>
    <t>Cash, end of period</t>
  </si>
  <si>
    <t>Interest paid</t>
  </si>
  <si>
    <t>***YETI much more levered than all peers</t>
  </si>
  <si>
    <t>YETI Corporation</t>
  </si>
  <si>
    <t>(Figures in thousands, except for per share data)</t>
  </si>
  <si>
    <t xml:space="preserve">Clarus Corp </t>
  </si>
  <si>
    <t>GOOS</t>
  </si>
  <si>
    <t>JOUT</t>
  </si>
  <si>
    <t>COLM</t>
  </si>
  <si>
    <t>Columbia Sportswear Company</t>
  </si>
  <si>
    <t xml:space="preserve">Johnson Outdoors Inc </t>
  </si>
  <si>
    <t xml:space="preserve">Canada Goose Holdings Inc. </t>
  </si>
  <si>
    <t xml:space="preserve">Lululemon Athletica Inc </t>
  </si>
  <si>
    <t xml:space="preserve">Valuation for period ended </t>
  </si>
  <si>
    <t>Valuation Date</t>
  </si>
  <si>
    <t>X-months ended</t>
  </si>
  <si>
    <t>Exchange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</si>
</sst>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quot;$&quot;#,##0.0\)"/>
    <numFmt numFmtId="165" formatCode="0.0%_);\(0.0%\)"/>
    <numFmt numFmtId="166" formatCode="#,##0.0_);\(#,##0.0\)"/>
    <numFmt numFmtId="167" formatCode="0.0\x"/>
    <numFmt numFmtId="168" formatCode="0&quot;A&quot;"/>
    <numFmt numFmtId="169" formatCode="0&quot;E&quot;"/>
    <numFmt numFmtId="170" formatCode="0.00_);\(0.00\)"/>
    <numFmt numFmtId="171" formatCode="[$-409]d\-mmm\-yy;@"/>
    <numFmt numFmtId="172" formatCode="0.0%"/>
    <numFmt numFmtId="174" formatCode="#,##0.0000"/>
    <numFmt numFmtId="175" formatCode="&quot;Yes&quot;;&quot;Yes&quot;;&quot;No&quot;"/>
    <numFmt numFmtId="179" formatCode="_(&quot;$&quot;* #,##0_);_(&quot;$&quot;* \(#,##0\);_(&quot;$&quot;* &quot;-&quot;??_);_(@_)"/>
    <numFmt numFmtId="180" formatCode="_(#,##0_);\(#,##0\)"/>
    <numFmt numFmtId="181" formatCode="_(0.0%_);\(0.0%\)"/>
    <numFmt numFmtId="182" formatCode="_(0.0\x_);\(0.0\x\)"/>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imes New Roman"/>
      <family val="1"/>
    </font>
    <font>
      <b/>
      <sz val="11"/>
      <name val="Times New Roman"/>
      <family val="1"/>
    </font>
    <font>
      <b/>
      <sz val="11"/>
      <color rgb="FF0070C0"/>
      <name val="Times New Roman"/>
      <family val="1"/>
    </font>
    <font>
      <b/>
      <sz val="11"/>
      <color theme="1"/>
      <name val="Times New Roman"/>
      <family val="1"/>
    </font>
    <font>
      <sz val="11"/>
      <color rgb="FF0070C0"/>
      <name val="Times New Roman"/>
      <family val="1"/>
    </font>
    <font>
      <sz val="11"/>
      <name val="Times New Roman"/>
      <family val="1"/>
    </font>
    <font>
      <b/>
      <sz val="11"/>
      <color theme="0"/>
      <name val="Times New Roman"/>
      <family val="1"/>
    </font>
    <font>
      <b/>
      <i/>
      <sz val="11"/>
      <color theme="0"/>
      <name val="Times New Roman"/>
      <family val="1"/>
    </font>
    <font>
      <i/>
      <sz val="11"/>
      <color theme="1"/>
      <name val="Times New Roman"/>
      <family val="1"/>
    </font>
    <font>
      <sz val="10"/>
      <name val="Arial"/>
      <family val="2"/>
    </font>
    <font>
      <b/>
      <sz val="10"/>
      <name val="Arial"/>
      <family val="2"/>
    </font>
    <font>
      <sz val="9"/>
      <color indexed="81"/>
      <name val="Tahoma"/>
      <family val="2"/>
    </font>
    <font>
      <b/>
      <sz val="9"/>
      <color indexed="81"/>
      <name val="Tahoma"/>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10"/>
      <color theme="4"/>
      <name val="Times"/>
      <family val="1"/>
    </font>
    <font>
      <sz val="11"/>
      <color theme="4"/>
      <name val="Times New Roman"/>
      <family val="1"/>
    </font>
    <font>
      <b/>
      <sz val="10"/>
      <color indexed="8"/>
      <name val="Arial"/>
      <family val="2"/>
    </font>
    <font>
      <b/>
      <sz val="10"/>
      <color indexed="18"/>
      <name val="Arial"/>
      <family val="2"/>
    </font>
    <font>
      <b/>
      <sz val="11"/>
      <color theme="1"/>
      <name val="Calibri"/>
      <family val="2"/>
      <scheme val="minor"/>
    </font>
    <font>
      <b/>
      <sz val="20"/>
      <color theme="1"/>
      <name val="Times New Roman"/>
      <family val="1"/>
    </font>
    <font>
      <sz val="11"/>
      <color rgb="FF002060"/>
      <name val="Times New Roman"/>
      <family val="1"/>
    </font>
    <font>
      <sz val="11"/>
      <color rgb="FF0070C0"/>
      <name val="Calibri"/>
      <family val="2"/>
      <scheme val="minor"/>
    </font>
    <font>
      <sz val="10"/>
      <color theme="9"/>
      <name val="Arial"/>
      <family val="2"/>
    </font>
    <font>
      <sz val="10"/>
      <color theme="4"/>
      <name val="Arial"/>
      <family val="2"/>
    </font>
    <font>
      <b/>
      <sz val="11"/>
      <color indexed="9"/>
      <name val="Arial"/>
      <family val="2"/>
    </font>
    <font>
      <sz val="9"/>
      <color indexed="9"/>
      <name val="Arial"/>
      <family val="2"/>
    </font>
    <font>
      <sz val="8"/>
      <name val="Arial"/>
      <family val="2"/>
    </font>
    <font>
      <sz val="10"/>
      <color rgb="FF000000"/>
      <name val="Arial"/>
      <family val="2"/>
    </font>
    <font>
      <b/>
      <sz val="16"/>
      <color rgb="FF000000"/>
      <name val="Arial"/>
      <family val="2"/>
    </font>
    <font>
      <b/>
      <sz val="10"/>
      <color rgb="FF000000"/>
      <name val="Arial"/>
      <family val="2"/>
    </font>
  </fonts>
  <fills count="7">
    <fill>
      <patternFill patternType="none"/>
    </fill>
    <fill>
      <patternFill patternType="gray125"/>
    </fill>
    <fill>
      <patternFill patternType="solid">
        <fgColor rgb="FF002060"/>
        <bgColor indexed="64"/>
      </patternFill>
    </fill>
    <fill>
      <patternFill patternType="solid">
        <fgColor indexed="22"/>
        <bgColor indexed="24"/>
      </patternFill>
    </fill>
    <fill>
      <patternFill patternType="solid">
        <fgColor indexed="22"/>
        <bgColor indexed="7"/>
      </patternFill>
    </fill>
    <fill>
      <patternFill patternType="solid">
        <fgColor theme="8" tint="0.79998168889431442"/>
        <bgColor indexed="64"/>
      </patternFill>
    </fill>
    <fill>
      <patternFill patternType="solid">
        <fgColor indexed="20"/>
        <bgColor indexed="24"/>
      </patternFill>
    </fill>
  </fills>
  <borders count="16">
    <border>
      <left/>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64"/>
      </right>
      <top/>
      <bottom/>
      <diagonal/>
    </border>
    <border>
      <left style="thin">
        <color auto="1"/>
      </left>
      <right/>
      <top/>
      <bottom/>
      <diagonal/>
    </border>
    <border>
      <left/>
      <right style="thin">
        <color indexed="64"/>
      </right>
      <top style="thin">
        <color auto="1"/>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12">
    <xf numFmtId="0" fontId="0" fillId="0" borderId="0" applyFill="0"/>
    <xf numFmtId="0" fontId="5" fillId="0" borderId="0"/>
    <xf numFmtId="0" fontId="4" fillId="0" borderId="0"/>
    <xf numFmtId="0" fontId="15" fillId="0" borderId="0" applyFill="0"/>
    <xf numFmtId="0" fontId="3" fillId="0" borderId="0"/>
    <xf numFmtId="0" fontId="3" fillId="0" borderId="0"/>
    <xf numFmtId="0" fontId="1" fillId="0" borderId="0"/>
    <xf numFmtId="0" fontId="1" fillId="0" borderId="0"/>
    <xf numFmtId="0" fontId="39" fillId="0" borderId="0"/>
    <xf numFmtId="44"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252">
    <xf numFmtId="0" fontId="0" fillId="0" borderId="0" xfId="0"/>
    <xf numFmtId="0" fontId="6" fillId="0" borderId="0" xfId="0" applyFont="1"/>
    <xf numFmtId="0" fontId="31" fillId="0" borderId="0" xfId="4" applyFont="1"/>
    <xf numFmtId="0" fontId="6" fillId="0" borderId="0" xfId="4" applyFont="1"/>
    <xf numFmtId="0" fontId="3" fillId="0" borderId="0" xfId="4"/>
    <xf numFmtId="0" fontId="14" fillId="0" borderId="0" xfId="4" applyFont="1"/>
    <xf numFmtId="0" fontId="9" fillId="0" borderId="0" xfId="4" applyFont="1" applyAlignment="1">
      <alignment horizontal="center"/>
    </xf>
    <xf numFmtId="0" fontId="9" fillId="0" borderId="0" xfId="4" applyFont="1" applyAlignment="1">
      <alignment horizontal="centerContinuous"/>
    </xf>
    <xf numFmtId="0" fontId="9" fillId="0" borderId="0" xfId="4" applyFont="1" applyAlignment="1">
      <alignment horizontal="centerContinuous" wrapText="1"/>
    </xf>
    <xf numFmtId="0" fontId="9" fillId="0" borderId="12" xfId="4" applyFont="1" applyBorder="1"/>
    <xf numFmtId="171" fontId="9" fillId="0" borderId="12" xfId="4" applyNumberFormat="1" applyFont="1" applyBorder="1" applyAlignment="1">
      <alignment horizontal="center"/>
    </xf>
    <xf numFmtId="0" fontId="9" fillId="0" borderId="12" xfId="4" applyFont="1" applyBorder="1" applyAlignment="1">
      <alignment horizontal="center"/>
    </xf>
    <xf numFmtId="7" fontId="10" fillId="0" borderId="0" xfId="4" applyNumberFormat="1" applyFont="1"/>
    <xf numFmtId="166" fontId="10" fillId="0" borderId="0" xfId="4" applyNumberFormat="1" applyFont="1"/>
    <xf numFmtId="166" fontId="6" fillId="0" borderId="0" xfId="4" applyNumberFormat="1" applyFont="1"/>
    <xf numFmtId="167" fontId="6" fillId="0" borderId="0" xfId="4" applyNumberFormat="1" applyFont="1"/>
    <xf numFmtId="165" fontId="10" fillId="0" borderId="0" xfId="4" applyNumberFormat="1" applyFont="1"/>
    <xf numFmtId="39" fontId="10" fillId="0" borderId="0" xfId="4" applyNumberFormat="1" applyFont="1"/>
    <xf numFmtId="39" fontId="32" fillId="0" borderId="0" xfId="4" applyNumberFormat="1" applyFont="1"/>
    <xf numFmtId="166" fontId="32" fillId="0" borderId="0" xfId="4" applyNumberFormat="1" applyFont="1"/>
    <xf numFmtId="166" fontId="6" fillId="0" borderId="0" xfId="4" applyNumberFormat="1" applyFont="1" applyAlignment="1">
      <alignment horizontal="right"/>
    </xf>
    <xf numFmtId="167" fontId="6" fillId="0" borderId="9" xfId="4" applyNumberFormat="1" applyFont="1" applyBorder="1"/>
    <xf numFmtId="167" fontId="6" fillId="0" borderId="8" xfId="4" applyNumberFormat="1" applyFont="1" applyBorder="1"/>
    <xf numFmtId="39" fontId="32" fillId="0" borderId="8" xfId="4" applyNumberFormat="1" applyFont="1" applyBorder="1"/>
    <xf numFmtId="167" fontId="6" fillId="0" borderId="7" xfId="4" applyNumberFormat="1" applyFont="1" applyBorder="1"/>
    <xf numFmtId="167" fontId="6" fillId="5" borderId="6" xfId="4" applyNumberFormat="1" applyFont="1" applyFill="1" applyBorder="1"/>
    <xf numFmtId="167" fontId="6" fillId="5" borderId="5" xfId="4" applyNumberFormat="1" applyFont="1" applyFill="1" applyBorder="1"/>
    <xf numFmtId="167" fontId="6" fillId="0" borderId="4" xfId="4" applyNumberFormat="1" applyFont="1" applyBorder="1"/>
    <xf numFmtId="167" fontId="6" fillId="0" borderId="2" xfId="4" applyNumberFormat="1" applyFont="1" applyBorder="1"/>
    <xf numFmtId="39" fontId="32" fillId="0" borderId="2" xfId="4" applyNumberFormat="1" applyFont="1" applyBorder="1"/>
    <xf numFmtId="167" fontId="6" fillId="0" borderId="3" xfId="4" applyNumberFormat="1" applyFont="1" applyBorder="1"/>
    <xf numFmtId="0" fontId="9" fillId="0" borderId="0" xfId="4" applyFont="1" applyAlignment="1">
      <alignment horizontal="center" wrapText="1"/>
    </xf>
    <xf numFmtId="0" fontId="9" fillId="0" borderId="0" xfId="4" applyFont="1"/>
    <xf numFmtId="7" fontId="11" fillId="0" borderId="0" xfId="4" applyNumberFormat="1" applyFont="1"/>
    <xf numFmtId="167" fontId="10" fillId="0" borderId="0" xfId="4" applyNumberFormat="1" applyFont="1"/>
    <xf numFmtId="0" fontId="33" fillId="0" borderId="0" xfId="5" applyFont="1"/>
    <xf numFmtId="0" fontId="3" fillId="0" borderId="0" xfId="5"/>
    <xf numFmtId="0" fontId="30" fillId="0" borderId="0" xfId="5" applyFont="1" applyAlignment="1">
      <alignment horizontal="centerContinuous"/>
    </xf>
    <xf numFmtId="0" fontId="30" fillId="0" borderId="0" xfId="5" applyFont="1"/>
    <xf numFmtId="14" fontId="3" fillId="0" borderId="0" xfId="5" applyNumberFormat="1" applyAlignment="1">
      <alignment horizontal="center" vertical="center" wrapText="1"/>
    </xf>
    <xf numFmtId="166" fontId="3" fillId="0" borderId="0" xfId="5" applyNumberFormat="1"/>
    <xf numFmtId="0" fontId="3" fillId="0" borderId="0" xfId="4" applyAlignment="1">
      <alignment horizontal="centerContinuous"/>
    </xf>
    <xf numFmtId="167" fontId="6" fillId="5" borderId="0" xfId="4" applyNumberFormat="1" applyFont="1" applyFill="1" applyBorder="1"/>
    <xf numFmtId="39" fontId="32" fillId="5" borderId="0" xfId="4" applyNumberFormat="1" applyFont="1" applyFill="1" applyBorder="1"/>
    <xf numFmtId="0" fontId="15" fillId="0" borderId="0" xfId="0" applyFont="1"/>
    <xf numFmtId="0" fontId="9" fillId="0" borderId="0" xfId="4" applyFont="1" applyBorder="1" applyAlignment="1">
      <alignment horizontal="center"/>
    </xf>
    <xf numFmtId="0" fontId="2" fillId="0" borderId="0" xfId="5" applyFont="1"/>
    <xf numFmtId="0" fontId="15" fillId="0" borderId="0" xfId="0" applyFont="1" applyAlignment="1">
      <alignment wrapText="1"/>
    </xf>
    <xf numFmtId="0" fontId="15" fillId="0" borderId="0" xfId="0" applyFont="1" applyAlignment="1">
      <alignment horizontal="centerContinuous"/>
    </xf>
    <xf numFmtId="0" fontId="0" fillId="0" borderId="0" xfId="0" applyAlignment="1">
      <alignment horizontal="centerContinuous"/>
    </xf>
    <xf numFmtId="0" fontId="15" fillId="0" borderId="0" xfId="0" applyFont="1" applyAlignment="1">
      <alignment vertical="center"/>
    </xf>
    <xf numFmtId="0" fontId="15" fillId="0" borderId="7" xfId="0" applyFont="1" applyBorder="1"/>
    <xf numFmtId="0" fontId="15" fillId="0" borderId="3" xfId="0" applyFont="1" applyBorder="1"/>
    <xf numFmtId="0" fontId="16" fillId="0" borderId="9" xfId="0" applyFont="1" applyBorder="1"/>
    <xf numFmtId="0" fontId="16" fillId="0" borderId="4" xfId="0" applyFont="1" applyBorder="1"/>
    <xf numFmtId="0" fontId="16" fillId="0" borderId="0" xfId="0" applyFont="1" applyBorder="1"/>
    <xf numFmtId="0" fontId="15" fillId="0" borderId="0" xfId="0" applyFont="1" applyBorder="1"/>
    <xf numFmtId="0" fontId="16" fillId="0" borderId="2" xfId="0" applyFont="1" applyBorder="1"/>
    <xf numFmtId="0" fontId="15" fillId="0" borderId="0" xfId="0" applyFont="1" applyAlignment="1">
      <alignment vertical="top" wrapText="1"/>
    </xf>
    <xf numFmtId="0" fontId="0" fillId="0" borderId="0" xfId="0" applyAlignment="1">
      <alignment vertical="top"/>
    </xf>
    <xf numFmtId="0" fontId="15" fillId="0" borderId="0" xfId="0" applyFont="1" applyAlignment="1">
      <alignment vertical="top"/>
    </xf>
    <xf numFmtId="14" fontId="3" fillId="0" borderId="0" xfId="5" applyNumberFormat="1"/>
    <xf numFmtId="0" fontId="3" fillId="0" borderId="0" xfId="5" applyAlignment="1">
      <alignment horizontal="centerContinuous"/>
    </xf>
    <xf numFmtId="0" fontId="30" fillId="0" borderId="0" xfId="5" applyFont="1" applyAlignment="1">
      <alignment vertical="center" wrapText="1"/>
    </xf>
    <xf numFmtId="166" fontId="2" fillId="0" borderId="0" xfId="5" applyNumberFormat="1" applyFont="1"/>
    <xf numFmtId="0" fontId="15" fillId="0" borderId="0" xfId="0" applyFont="1" applyAlignment="1">
      <alignment horizontal="center" vertical="center"/>
    </xf>
    <xf numFmtId="0" fontId="15" fillId="0" borderId="0" xfId="0" applyFont="1" applyAlignment="1"/>
    <xf numFmtId="0" fontId="6" fillId="0" borderId="0" xfId="6" applyFont="1"/>
    <xf numFmtId="0" fontId="6" fillId="0" borderId="9" xfId="6" applyFont="1" applyBorder="1"/>
    <xf numFmtId="0" fontId="6" fillId="0" borderId="7" xfId="6" applyFont="1" applyBorder="1" applyAlignment="1">
      <alignment horizontal="left"/>
    </xf>
    <xf numFmtId="0" fontId="6" fillId="0" borderId="6" xfId="6" applyFont="1" applyBorder="1"/>
    <xf numFmtId="0" fontId="6" fillId="0" borderId="5" xfId="6" applyFont="1" applyBorder="1" applyAlignment="1">
      <alignment horizontal="left"/>
    </xf>
    <xf numFmtId="0" fontId="6" fillId="0" borderId="4" xfId="6" applyFont="1" applyBorder="1"/>
    <xf numFmtId="14" fontId="6" fillId="0" borderId="3" xfId="6" applyNumberFormat="1" applyFont="1" applyBorder="1" applyAlignment="1">
      <alignment horizontal="left"/>
    </xf>
    <xf numFmtId="0" fontId="9" fillId="0" borderId="0" xfId="6" applyFont="1"/>
    <xf numFmtId="0" fontId="14" fillId="0" borderId="0" xfId="6" applyFont="1"/>
    <xf numFmtId="0" fontId="13" fillId="2" borderId="0" xfId="6" applyFont="1" applyFill="1" applyAlignment="1">
      <alignment horizontal="centerContinuous"/>
    </xf>
    <xf numFmtId="0" fontId="12" fillId="2" borderId="0" xfId="6" applyFont="1" applyFill="1" applyAlignment="1">
      <alignment horizontal="centerContinuous"/>
    </xf>
    <xf numFmtId="0" fontId="9" fillId="0" borderId="11" xfId="6" applyFont="1" applyBorder="1" applyAlignment="1">
      <alignment horizontal="centerContinuous"/>
    </xf>
    <xf numFmtId="0" fontId="9" fillId="0" borderId="1" xfId="6" applyFont="1" applyBorder="1" applyAlignment="1">
      <alignment horizontal="centerContinuous"/>
    </xf>
    <xf numFmtId="0" fontId="9" fillId="0" borderId="10" xfId="6" applyFont="1" applyBorder="1" applyAlignment="1">
      <alignment horizontal="centerContinuous"/>
    </xf>
    <xf numFmtId="0" fontId="6" fillId="0" borderId="1" xfId="6" applyFont="1" applyBorder="1" applyAlignment="1">
      <alignment horizontal="centerContinuous"/>
    </xf>
    <xf numFmtId="0" fontId="6" fillId="0" borderId="10" xfId="6" applyFont="1" applyBorder="1" applyAlignment="1">
      <alignment horizontal="centerContinuous"/>
    </xf>
    <xf numFmtId="168" fontId="8" fillId="0" borderId="8" xfId="6" applyNumberFormat="1" applyFont="1" applyBorder="1" applyAlignment="1">
      <alignment horizontal="center"/>
    </xf>
    <xf numFmtId="168" fontId="9" fillId="0" borderId="8" xfId="6" applyNumberFormat="1" applyFont="1" applyBorder="1" applyAlignment="1">
      <alignment horizontal="center"/>
    </xf>
    <xf numFmtId="168" fontId="9" fillId="0" borderId="7" xfId="6" applyNumberFormat="1" applyFont="1" applyBorder="1" applyAlignment="1">
      <alignment horizontal="center"/>
    </xf>
    <xf numFmtId="169" fontId="9" fillId="0" borderId="8" xfId="6" applyNumberFormat="1" applyFont="1" applyBorder="1" applyAlignment="1">
      <alignment horizontal="center"/>
    </xf>
    <xf numFmtId="179" fontId="34" fillId="0" borderId="0" xfId="3" applyNumberFormat="1" applyFont="1"/>
    <xf numFmtId="179" fontId="34" fillId="0" borderId="5" xfId="3" applyNumberFormat="1" applyFont="1" applyBorder="1"/>
    <xf numFmtId="179" fontId="15" fillId="0" borderId="0" xfId="3" applyNumberFormat="1"/>
    <xf numFmtId="180" fontId="34" fillId="0" borderId="0" xfId="3" applyNumberFormat="1" applyFont="1"/>
    <xf numFmtId="180" fontId="34" fillId="0" borderId="5" xfId="3" applyNumberFormat="1" applyFont="1" applyBorder="1"/>
    <xf numFmtId="180" fontId="15" fillId="0" borderId="0" xfId="3" applyNumberFormat="1"/>
    <xf numFmtId="180" fontId="15" fillId="0" borderId="5" xfId="3" applyNumberFormat="1" applyBorder="1"/>
    <xf numFmtId="0" fontId="15" fillId="0" borderId="0" xfId="3"/>
    <xf numFmtId="0" fontId="15" fillId="0" borderId="5" xfId="3" applyBorder="1"/>
    <xf numFmtId="180" fontId="34" fillId="0" borderId="2" xfId="3" applyNumberFormat="1" applyFont="1" applyBorder="1"/>
    <xf numFmtId="180" fontId="34" fillId="0" borderId="3" xfId="3" applyNumberFormat="1" applyFont="1" applyBorder="1"/>
    <xf numFmtId="180" fontId="15" fillId="0" borderId="4" xfId="3" applyNumberFormat="1" applyBorder="1"/>
    <xf numFmtId="180" fontId="15" fillId="0" borderId="2" xfId="3" applyNumberFormat="1" applyBorder="1"/>
    <xf numFmtId="0" fontId="9" fillId="0" borderId="8" xfId="6" applyFont="1" applyBorder="1"/>
    <xf numFmtId="180" fontId="15" fillId="0" borderId="7" xfId="3" applyNumberFormat="1" applyBorder="1"/>
    <xf numFmtId="9" fontId="10" fillId="0" borderId="0" xfId="6" applyNumberFormat="1" applyFont="1"/>
    <xf numFmtId="181" fontId="35" fillId="0" borderId="0" xfId="3" applyNumberFormat="1" applyFont="1"/>
    <xf numFmtId="180" fontId="15" fillId="0" borderId="3" xfId="3" applyNumberFormat="1" applyBorder="1"/>
    <xf numFmtId="0" fontId="6" fillId="0" borderId="8" xfId="6" applyFont="1" applyBorder="1"/>
    <xf numFmtId="179" fontId="16" fillId="0" borderId="0" xfId="3" applyNumberFormat="1" applyFont="1"/>
    <xf numFmtId="179" fontId="16" fillId="0" borderId="5" xfId="3" applyNumberFormat="1" applyFont="1" applyBorder="1"/>
    <xf numFmtId="166" fontId="11" fillId="0" borderId="0" xfId="6" applyNumberFormat="1" applyFont="1"/>
    <xf numFmtId="0" fontId="7" fillId="0" borderId="0" xfId="6" applyFont="1" applyAlignment="1">
      <alignment horizontal="center"/>
    </xf>
    <xf numFmtId="0" fontId="9" fillId="0" borderId="0" xfId="6" applyFont="1" applyAlignment="1">
      <alignment horizontal="center"/>
    </xf>
    <xf numFmtId="0" fontId="9" fillId="0" borderId="7" xfId="6" applyFont="1" applyBorder="1" applyAlignment="1">
      <alignment horizontal="center"/>
    </xf>
    <xf numFmtId="181" fontId="15" fillId="0" borderId="0" xfId="3" applyNumberFormat="1"/>
    <xf numFmtId="181" fontId="15" fillId="0" borderId="5" xfId="3" applyNumberFormat="1" applyBorder="1"/>
    <xf numFmtId="165" fontId="6" fillId="0" borderId="0" xfId="6" applyNumberFormat="1" applyFont="1"/>
    <xf numFmtId="0" fontId="9" fillId="0" borderId="9" xfId="6" applyFont="1" applyBorder="1"/>
    <xf numFmtId="0" fontId="6" fillId="0" borderId="7" xfId="6" applyFont="1" applyBorder="1"/>
    <xf numFmtId="0" fontId="6" fillId="0" borderId="5" xfId="6" applyFont="1" applyBorder="1"/>
    <xf numFmtId="165" fontId="6" fillId="0" borderId="5" xfId="6" applyNumberFormat="1" applyFont="1" applyBorder="1"/>
    <xf numFmtId="179" fontId="6" fillId="0" borderId="5" xfId="6" applyNumberFormat="1" applyFont="1" applyBorder="1"/>
    <xf numFmtId="179" fontId="15" fillId="0" borderId="5" xfId="3" applyNumberFormat="1" applyBorder="1"/>
    <xf numFmtId="172" fontId="27" fillId="0" borderId="5" xfId="6" applyNumberFormat="1" applyFont="1" applyBorder="1"/>
    <xf numFmtId="182" fontId="35" fillId="0" borderId="5" xfId="3" applyNumberFormat="1" applyFont="1" applyBorder="1"/>
    <xf numFmtId="37" fontId="15" fillId="0" borderId="5" xfId="3" applyNumberFormat="1" applyBorder="1"/>
    <xf numFmtId="164" fontId="6" fillId="0" borderId="0" xfId="6" applyNumberFormat="1" applyFont="1"/>
    <xf numFmtId="8" fontId="15" fillId="0" borderId="5" xfId="3" applyNumberFormat="1" applyBorder="1"/>
    <xf numFmtId="172" fontId="6" fillId="0" borderId="5" xfId="6" applyNumberFormat="1" applyFont="1" applyBorder="1"/>
    <xf numFmtId="172" fontId="15" fillId="0" borderId="5" xfId="3" applyNumberFormat="1" applyBorder="1"/>
    <xf numFmtId="0" fontId="6" fillId="0" borderId="2" xfId="6" applyFont="1" applyBorder="1"/>
    <xf numFmtId="8" fontId="15" fillId="0" borderId="3" xfId="3" applyNumberFormat="1" applyBorder="1"/>
    <xf numFmtId="6" fontId="15" fillId="0" borderId="5" xfId="3" applyNumberFormat="1" applyBorder="1"/>
    <xf numFmtId="44" fontId="15" fillId="0" borderId="3" xfId="3" applyNumberFormat="1" applyBorder="1"/>
    <xf numFmtId="37" fontId="6" fillId="0" borderId="5" xfId="6" applyNumberFormat="1" applyFont="1" applyBorder="1"/>
    <xf numFmtId="44" fontId="6" fillId="0" borderId="3" xfId="6" applyNumberFormat="1" applyFont="1" applyBorder="1"/>
    <xf numFmtId="9" fontId="6" fillId="0" borderId="0" xfId="6" applyNumberFormat="1" applyFont="1"/>
    <xf numFmtId="5" fontId="6" fillId="0" borderId="0" xfId="6" applyNumberFormat="1" applyFont="1"/>
    <xf numFmtId="168" fontId="7" fillId="0" borderId="0" xfId="6" applyNumberFormat="1" applyFont="1" applyAlignment="1">
      <alignment horizontal="center"/>
    </xf>
    <xf numFmtId="0" fontId="13" fillId="2" borderId="0" xfId="7" applyFont="1" applyFill="1" applyAlignment="1">
      <alignment horizontal="centerContinuous"/>
    </xf>
    <xf numFmtId="0" fontId="12" fillId="2" borderId="0" xfId="7" applyFont="1" applyFill="1" applyAlignment="1">
      <alignment horizontal="centerContinuous"/>
    </xf>
    <xf numFmtId="0" fontId="11" fillId="0" borderId="0" xfId="6" applyFont="1"/>
    <xf numFmtId="0" fontId="15" fillId="0" borderId="0" xfId="3" applyFill="1"/>
    <xf numFmtId="0" fontId="9" fillId="0" borderId="9" xfId="7" applyFont="1" applyBorder="1"/>
    <xf numFmtId="0" fontId="6" fillId="0" borderId="8" xfId="7" applyFont="1" applyBorder="1"/>
    <xf numFmtId="0" fontId="11" fillId="0" borderId="8" xfId="7" applyFont="1" applyBorder="1"/>
    <xf numFmtId="0" fontId="11" fillId="0" borderId="7" xfId="7" applyFont="1" applyBorder="1"/>
    <xf numFmtId="0" fontId="7" fillId="0" borderId="9" xfId="7" applyFont="1" applyBorder="1"/>
    <xf numFmtId="0" fontId="6" fillId="0" borderId="6" xfId="7" applyFont="1" applyBorder="1"/>
    <xf numFmtId="0" fontId="6" fillId="0" borderId="0" xfId="7" applyFont="1"/>
    <xf numFmtId="0" fontId="11" fillId="0" borderId="0" xfId="7" applyFont="1"/>
    <xf numFmtId="37" fontId="35" fillId="0" borderId="5" xfId="3" applyNumberFormat="1" applyFont="1" applyBorder="1"/>
    <xf numFmtId="0" fontId="11" fillId="0" borderId="6" xfId="7" applyFont="1" applyBorder="1"/>
    <xf numFmtId="8" fontId="35" fillId="0" borderId="5" xfId="3" applyNumberFormat="1" applyFont="1" applyBorder="1"/>
    <xf numFmtId="0" fontId="6" fillId="0" borderId="4" xfId="7" applyFont="1" applyBorder="1"/>
    <xf numFmtId="0" fontId="6" fillId="0" borderId="2" xfId="7" applyFont="1" applyBorder="1"/>
    <xf numFmtId="164" fontId="6" fillId="0" borderId="3" xfId="7" applyNumberFormat="1" applyFont="1" applyBorder="1"/>
    <xf numFmtId="0" fontId="13" fillId="0" borderId="0" xfId="6" applyFont="1" applyAlignment="1">
      <alignment horizontal="centerContinuous"/>
    </xf>
    <xf numFmtId="0" fontId="12" fillId="0" borderId="0" xfId="6" applyFont="1" applyAlignment="1">
      <alignment horizontal="centerContinuous"/>
    </xf>
    <xf numFmtId="0" fontId="9" fillId="0" borderId="0" xfId="3" applyFont="1"/>
    <xf numFmtId="0" fontId="6" fillId="0" borderId="0" xfId="3" applyFont="1"/>
    <xf numFmtId="180" fontId="35" fillId="0" borderId="0" xfId="3" applyNumberFormat="1" applyFont="1"/>
    <xf numFmtId="8" fontId="35" fillId="0" borderId="0" xfId="3" applyNumberFormat="1" applyFont="1"/>
    <xf numFmtId="6" fontId="15" fillId="0" borderId="0" xfId="3" applyNumberFormat="1"/>
    <xf numFmtId="172" fontId="15" fillId="0" borderId="0" xfId="3" applyNumberFormat="1"/>
    <xf numFmtId="2" fontId="15" fillId="0" borderId="0" xfId="3" applyNumberFormat="1"/>
    <xf numFmtId="172" fontId="35" fillId="0" borderId="0" xfId="3" applyNumberFormat="1" applyFont="1"/>
    <xf numFmtId="39" fontId="15" fillId="0" borderId="0" xfId="3" applyNumberFormat="1"/>
    <xf numFmtId="0" fontId="9" fillId="0" borderId="0" xfId="3" applyFont="1" applyAlignment="1">
      <alignment horizontal="center"/>
    </xf>
    <xf numFmtId="0" fontId="9" fillId="0" borderId="0" xfId="3" applyFont="1" applyFill="1" applyAlignment="1">
      <alignment horizontal="center"/>
    </xf>
    <xf numFmtId="0" fontId="9" fillId="0" borderId="12" xfId="3" applyFont="1" applyBorder="1"/>
    <xf numFmtId="171" fontId="9" fillId="0" borderId="12" xfId="3" applyNumberFormat="1" applyFont="1" applyBorder="1" applyAlignment="1">
      <alignment horizontal="center"/>
    </xf>
    <xf numFmtId="0" fontId="9" fillId="0" borderId="12" xfId="3" applyFont="1" applyBorder="1" applyAlignment="1">
      <alignment horizontal="center"/>
    </xf>
    <xf numFmtId="166" fontId="10" fillId="0" borderId="0" xfId="3" applyNumberFormat="1" applyFont="1"/>
    <xf numFmtId="166" fontId="10" fillId="0" borderId="0" xfId="3" applyNumberFormat="1" applyFont="1" applyFill="1"/>
    <xf numFmtId="2" fontId="6" fillId="0" borderId="0" xfId="3" applyNumberFormat="1" applyFont="1"/>
    <xf numFmtId="39" fontId="10" fillId="0" borderId="0" xfId="3" applyNumberFormat="1" applyFont="1" applyFill="1"/>
    <xf numFmtId="39" fontId="6" fillId="0" borderId="0" xfId="3" applyNumberFormat="1" applyFont="1"/>
    <xf numFmtId="172" fontId="11" fillId="0" borderId="0" xfId="3" applyNumberFormat="1" applyFont="1"/>
    <xf numFmtId="166" fontId="6" fillId="0" borderId="0" xfId="3" applyNumberFormat="1" applyFont="1"/>
    <xf numFmtId="172" fontId="6" fillId="0" borderId="0" xfId="3" applyNumberFormat="1" applyFont="1"/>
    <xf numFmtId="39" fontId="9" fillId="0" borderId="0" xfId="3" applyNumberFormat="1" applyFont="1"/>
    <xf numFmtId="39" fontId="6" fillId="0" borderId="0" xfId="6" applyNumberFormat="1" applyFont="1"/>
    <xf numFmtId="172" fontId="6" fillId="0" borderId="0" xfId="6" applyNumberFormat="1" applyFont="1"/>
    <xf numFmtId="10" fontId="6" fillId="0" borderId="0" xfId="6" applyNumberFormat="1" applyFont="1"/>
    <xf numFmtId="8" fontId="11" fillId="0" borderId="0" xfId="6" applyNumberFormat="1" applyFont="1"/>
    <xf numFmtId="8" fontId="11" fillId="0" borderId="0" xfId="3" applyNumberFormat="1" applyFont="1" applyFill="1"/>
    <xf numFmtId="0" fontId="6" fillId="0" borderId="0" xfId="6" applyFont="1" applyAlignment="1">
      <alignment horizontal="right"/>
    </xf>
    <xf numFmtId="0" fontId="36" fillId="6" borderId="15" xfId="3" applyFont="1" applyFill="1" applyBorder="1" applyAlignment="1">
      <alignment horizontal="left"/>
    </xf>
    <xf numFmtId="0" fontId="37" fillId="6" borderId="15" xfId="3" applyFont="1" applyFill="1" applyBorder="1" applyAlignment="1">
      <alignment horizontal="right"/>
    </xf>
    <xf numFmtId="0" fontId="36" fillId="6" borderId="2" xfId="3" applyFont="1" applyFill="1" applyBorder="1" applyAlignment="1">
      <alignment horizontal="left"/>
    </xf>
    <xf numFmtId="0" fontId="37" fillId="6" borderId="2" xfId="3" applyFont="1" applyFill="1" applyBorder="1" applyAlignment="1">
      <alignment horizontal="right"/>
    </xf>
    <xf numFmtId="0" fontId="28" fillId="3" borderId="0" xfId="3" applyFont="1" applyFill="1" applyAlignment="1">
      <alignment horizontal="left"/>
    </xf>
    <xf numFmtId="0" fontId="38" fillId="0" borderId="0" xfId="3" applyFont="1" applyFill="1" applyAlignment="1">
      <alignment vertical="top" wrapText="1"/>
    </xf>
    <xf numFmtId="0" fontId="29" fillId="3" borderId="1" xfId="3" applyFont="1" applyFill="1" applyBorder="1" applyAlignment="1">
      <alignment horizontal="left"/>
    </xf>
    <xf numFmtId="0" fontId="15" fillId="0" borderId="1" xfId="3" applyFill="1" applyBorder="1"/>
    <xf numFmtId="181" fontId="15" fillId="0" borderId="0" xfId="3" applyNumberFormat="1" applyFill="1"/>
    <xf numFmtId="181" fontId="15" fillId="4" borderId="0" xfId="3" applyNumberFormat="1" applyFill="1"/>
    <xf numFmtId="172" fontId="15" fillId="0" borderId="0" xfId="3" applyNumberFormat="1" applyFill="1"/>
    <xf numFmtId="172" fontId="15" fillId="4" borderId="0" xfId="3" applyNumberFormat="1" applyFill="1"/>
    <xf numFmtId="182" fontId="15" fillId="0" borderId="0" xfId="3" applyNumberFormat="1" applyFill="1"/>
    <xf numFmtId="182" fontId="15" fillId="4" borderId="0" xfId="3" applyNumberFormat="1" applyFill="1"/>
    <xf numFmtId="39" fontId="15" fillId="0" borderId="0" xfId="3" applyNumberFormat="1" applyFill="1"/>
    <xf numFmtId="39" fontId="15" fillId="4" borderId="0" xfId="3" applyNumberFormat="1" applyFill="1"/>
    <xf numFmtId="44" fontId="15" fillId="0" borderId="0" xfId="3" applyNumberFormat="1" applyFill="1"/>
    <xf numFmtId="0" fontId="28" fillId="3" borderId="12" xfId="3" applyFont="1" applyFill="1" applyBorder="1" applyAlignment="1">
      <alignment horizontal="left"/>
    </xf>
    <xf numFmtId="44" fontId="15" fillId="0" borderId="12" xfId="3" applyNumberFormat="1" applyFill="1" applyBorder="1"/>
    <xf numFmtId="0" fontId="40" fillId="0" borderId="0" xfId="8" applyFont="1" applyAlignment="1">
      <alignment horizontal="left"/>
    </xf>
    <xf numFmtId="0" fontId="39" fillId="0" borderId="0" xfId="8"/>
    <xf numFmtId="0" fontId="39" fillId="0" borderId="0" xfId="8" applyAlignment="1">
      <alignment horizontal="left" vertical="top" wrapText="1"/>
    </xf>
    <xf numFmtId="0" fontId="41" fillId="0" borderId="0" xfId="8" applyFont="1" applyAlignment="1">
      <alignment vertical="top" wrapText="1"/>
    </xf>
    <xf numFmtId="0" fontId="41" fillId="0" borderId="0" xfId="8" applyFont="1" applyAlignment="1">
      <alignment horizontal="left" vertical="top"/>
    </xf>
    <xf numFmtId="0" fontId="41" fillId="0" borderId="0" xfId="8" applyFont="1" applyAlignment="1">
      <alignment horizontal="right" vertical="top"/>
    </xf>
    <xf numFmtId="0" fontId="39" fillId="0" borderId="0" xfId="8" applyAlignment="1">
      <alignment horizontal="left"/>
    </xf>
    <xf numFmtId="1" fontId="39" fillId="0" borderId="0" xfId="8" applyNumberFormat="1"/>
    <xf numFmtId="0" fontId="39" fillId="0" borderId="0" xfId="8" applyAlignment="1">
      <alignment horizontal="right"/>
    </xf>
    <xf numFmtId="2" fontId="39" fillId="0" borderId="0" xfId="8" applyNumberFormat="1"/>
    <xf numFmtId="0" fontId="19" fillId="0" borderId="0" xfId="3" applyFont="1"/>
    <xf numFmtId="0" fontId="20" fillId="0" borderId="0" xfId="3" applyFont="1"/>
    <xf numFmtId="0" fontId="21" fillId="0" borderId="0" xfId="3" applyFont="1"/>
    <xf numFmtId="8" fontId="21" fillId="0" borderId="13" xfId="3" applyNumberFormat="1" applyFont="1" applyFill="1" applyBorder="1"/>
    <xf numFmtId="44" fontId="26" fillId="0" borderId="13" xfId="9" applyFont="1" applyFill="1" applyBorder="1"/>
    <xf numFmtId="2" fontId="26" fillId="0" borderId="13" xfId="3" applyNumberFormat="1" applyFont="1" applyFill="1" applyBorder="1"/>
    <xf numFmtId="10" fontId="26" fillId="0" borderId="13" xfId="10" applyNumberFormat="1" applyFont="1" applyFill="1" applyBorder="1"/>
    <xf numFmtId="10" fontId="26" fillId="0" borderId="13" xfId="3" applyNumberFormat="1" applyFont="1" applyFill="1" applyBorder="1"/>
    <xf numFmtId="4" fontId="21" fillId="0" borderId="13" xfId="3" applyNumberFormat="1" applyFont="1" applyFill="1" applyBorder="1"/>
    <xf numFmtId="4" fontId="21" fillId="0" borderId="0" xfId="3" applyNumberFormat="1" applyFont="1" applyFill="1"/>
    <xf numFmtId="0" fontId="21" fillId="0" borderId="13" xfId="3" applyFont="1" applyBorder="1"/>
    <xf numFmtId="0" fontId="22" fillId="0" borderId="0" xfId="3" applyFont="1"/>
    <xf numFmtId="0" fontId="23" fillId="0" borderId="0" xfId="3" applyFont="1"/>
    <xf numFmtId="0" fontId="24" fillId="0" borderId="0" xfId="3" applyFont="1"/>
    <xf numFmtId="0" fontId="25" fillId="0" borderId="0" xfId="3" applyFont="1"/>
    <xf numFmtId="0" fontId="25" fillId="0" borderId="13" xfId="3" applyFont="1" applyBorder="1"/>
    <xf numFmtId="10" fontId="25" fillId="0" borderId="0" xfId="3" applyNumberFormat="1" applyFont="1"/>
    <xf numFmtId="3" fontId="21" fillId="0" borderId="13" xfId="3" applyNumberFormat="1" applyFont="1" applyBorder="1"/>
    <xf numFmtId="44" fontId="25" fillId="0" borderId="13" xfId="3" applyNumberFormat="1" applyFont="1" applyBorder="1"/>
    <xf numFmtId="10" fontId="25" fillId="0" borderId="13" xfId="3" applyNumberFormat="1" applyFont="1" applyBorder="1"/>
    <xf numFmtId="174" fontId="25" fillId="0" borderId="13" xfId="11" applyNumberFormat="1" applyFont="1" applyBorder="1"/>
    <xf numFmtId="10" fontId="21" fillId="0" borderId="13" xfId="3" applyNumberFormat="1" applyFont="1" applyBorder="1"/>
    <xf numFmtId="44" fontId="21" fillId="0" borderId="14" xfId="9" applyFont="1" applyBorder="1"/>
    <xf numFmtId="44" fontId="21" fillId="0" borderId="0" xfId="9" applyFont="1"/>
    <xf numFmtId="8" fontId="21" fillId="0" borderId="14" xfId="3" applyNumberFormat="1" applyFont="1" applyBorder="1"/>
    <xf numFmtId="0" fontId="6" fillId="0" borderId="9" xfId="4" applyFont="1" applyBorder="1"/>
    <xf numFmtId="0" fontId="6" fillId="0" borderId="6" xfId="4" applyFont="1" applyBorder="1"/>
    <xf numFmtId="0" fontId="6" fillId="0" borderId="4" xfId="4" applyFont="1" applyBorder="1"/>
    <xf numFmtId="14" fontId="6" fillId="0" borderId="5" xfId="4" applyNumberFormat="1" applyFont="1" applyBorder="1"/>
    <xf numFmtId="14" fontId="6" fillId="0" borderId="7" xfId="4" applyNumberFormat="1" applyFont="1" applyBorder="1"/>
    <xf numFmtId="0" fontId="6" fillId="0" borderId="3" xfId="4" applyFont="1" applyBorder="1" applyAlignment="1">
      <alignment horizontal="right"/>
    </xf>
    <xf numFmtId="0" fontId="1" fillId="0" borderId="0" xfId="5" applyFont="1"/>
    <xf numFmtId="37" fontId="3" fillId="0" borderId="0" xfId="5" applyNumberFormat="1"/>
    <xf numFmtId="37" fontId="30" fillId="0" borderId="0" xfId="5" applyNumberFormat="1" applyFont="1" applyAlignment="1">
      <alignment horizontal="centerContinuous"/>
    </xf>
    <xf numFmtId="37" fontId="10" fillId="0" borderId="0" xfId="4" applyNumberFormat="1" applyFont="1"/>
    <xf numFmtId="0" fontId="16" fillId="0" borderId="2" xfId="0" applyFont="1" applyBorder="1" applyAlignment="1">
      <alignment horizontal="centerContinuous"/>
    </xf>
    <xf numFmtId="0" fontId="0" fillId="0" borderId="2" xfId="0" applyBorder="1" applyAlignment="1">
      <alignment horizontal="centerContinuous"/>
    </xf>
  </cellXfs>
  <cellStyles count="12">
    <cellStyle name="Comma 2" xfId="11" xr:uid="{81C0527E-0FE8-437D-BD47-1154C521BCC8}"/>
    <cellStyle name="Currency 2" xfId="9" xr:uid="{66BD8D33-AFCC-42F7-B8D6-5F510749CC2D}"/>
    <cellStyle name="Normal" xfId="0" builtinId="0"/>
    <cellStyle name="Normal 2" xfId="1" xr:uid="{00000000-0005-0000-0000-000001000000}"/>
    <cellStyle name="Normal 2 2" xfId="2" xr:uid="{00000000-0005-0000-0000-000002000000}"/>
    <cellStyle name="Normal 2 2 2" xfId="7" xr:uid="{B6D34935-50B9-4105-861F-010753E49185}"/>
    <cellStyle name="Normal 2 3" xfId="6" xr:uid="{495457A2-2D4C-4A6D-BB54-6EEBC58E2669}"/>
    <cellStyle name="Normal 3" xfId="3" xr:uid="{00000000-0005-0000-0000-000003000000}"/>
    <cellStyle name="Normal 4" xfId="4" xr:uid="{0D4D91A9-FD9E-4720-91BC-94138A901B93}"/>
    <cellStyle name="Normal 5" xfId="5" xr:uid="{CA7F746B-C89E-42CC-8570-09C22B7420F1}"/>
    <cellStyle name="Normal 7" xfId="8" xr:uid="{0939F448-3AD8-4BC3-B558-C2F5CFA02557}"/>
    <cellStyle name="Percent 2" xfId="10" xr:uid="{DCAC1BAB-6C4A-4F57-8922-81D9BE0DD7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A7833-659C-4DE0-8CC7-F402AB74B826}">
  <sheetPr codeName="Sheet1"/>
  <dimension ref="B2:D13"/>
  <sheetViews>
    <sheetView tabSelected="1" zoomScaleNormal="100" workbookViewId="0">
      <selection activeCell="D6" sqref="D6"/>
    </sheetView>
  </sheetViews>
  <sheetFormatPr defaultRowHeight="12.5"/>
  <cols>
    <col min="1" max="1" width="3.1796875" customWidth="1"/>
    <col min="2" max="2" width="19.08984375" bestFit="1" customWidth="1"/>
    <col min="3" max="3" width="39.7265625" customWidth="1"/>
    <col min="4" max="4" width="39.26953125" customWidth="1"/>
  </cols>
  <sheetData>
    <row r="2" spans="2:4" ht="13">
      <c r="B2" s="53" t="s">
        <v>198</v>
      </c>
      <c r="C2" s="51" t="s">
        <v>210</v>
      </c>
    </row>
    <row r="3" spans="2:4" ht="13">
      <c r="B3" s="54" t="s">
        <v>199</v>
      </c>
      <c r="C3" s="52" t="s">
        <v>211</v>
      </c>
    </row>
    <row r="4" spans="2:4" ht="13">
      <c r="B4" s="55"/>
      <c r="C4" s="56"/>
    </row>
    <row r="5" spans="2:4" ht="13">
      <c r="B5" s="57" t="s">
        <v>178</v>
      </c>
      <c r="C5" s="250" t="s">
        <v>201</v>
      </c>
      <c r="D5" s="251"/>
    </row>
    <row r="6" spans="2:4" ht="127.5">
      <c r="B6" s="50" t="s">
        <v>195</v>
      </c>
      <c r="C6" s="58" t="s">
        <v>218</v>
      </c>
      <c r="D6" s="58" t="s">
        <v>252</v>
      </c>
    </row>
    <row r="7" spans="2:4" ht="87.5">
      <c r="B7" s="44" t="s">
        <v>206</v>
      </c>
      <c r="C7" s="47" t="s">
        <v>207</v>
      </c>
    </row>
    <row r="8" spans="2:4">
      <c r="B8" s="44" t="s">
        <v>196</v>
      </c>
      <c r="C8" s="44" t="s">
        <v>208</v>
      </c>
    </row>
    <row r="9" spans="2:4" ht="38">
      <c r="B9" s="44" t="s">
        <v>209</v>
      </c>
      <c r="C9" s="47" t="s">
        <v>214</v>
      </c>
    </row>
    <row r="10" spans="2:4" ht="50.5">
      <c r="B10" s="44" t="s">
        <v>200</v>
      </c>
      <c r="C10" s="47" t="s">
        <v>212</v>
      </c>
    </row>
    <row r="11" spans="2:4" ht="165">
      <c r="B11" s="65" t="s">
        <v>182</v>
      </c>
      <c r="C11" s="58" t="s">
        <v>217</v>
      </c>
      <c r="D11" s="58" t="s">
        <v>213</v>
      </c>
    </row>
    <row r="12" spans="2:4" ht="102" customHeight="1">
      <c r="B12" s="44" t="s">
        <v>190</v>
      </c>
      <c r="C12" s="47" t="s">
        <v>253</v>
      </c>
      <c r="D12" s="58" t="s">
        <v>216</v>
      </c>
    </row>
    <row r="13" spans="2:4" ht="61" customHeight="1">
      <c r="B13" s="44" t="s">
        <v>197</v>
      </c>
      <c r="C13" s="47" t="s">
        <v>215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C38A-38C2-41D7-92C7-A662858B2DD0}">
  <sheetPr codeName="Sheet9"/>
  <dimension ref="B2:J18"/>
  <sheetViews>
    <sheetView workbookViewId="0">
      <selection activeCell="C3" sqref="A1:XFD1048576"/>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272</v>
      </c>
    </row>
    <row r="3" spans="2:10">
      <c r="B3" s="38"/>
    </row>
    <row r="4" spans="2:10">
      <c r="C4" s="37" t="s">
        <v>161</v>
      </c>
      <c r="D4" s="63"/>
      <c r="E4" s="37" t="s">
        <v>427</v>
      </c>
      <c r="F4" s="37"/>
      <c r="G4" s="38"/>
      <c r="H4" s="37" t="s">
        <v>144</v>
      </c>
      <c r="I4" s="62"/>
      <c r="J4" s="46"/>
    </row>
    <row r="5" spans="2:10">
      <c r="C5" s="39">
        <v>43830</v>
      </c>
      <c r="D5" s="39"/>
      <c r="E5" s="39"/>
      <c r="F5" s="39"/>
      <c r="G5" s="39"/>
      <c r="H5" s="39">
        <v>43830</v>
      </c>
      <c r="I5" s="61"/>
    </row>
    <row r="6" spans="2:10">
      <c r="B6" s="36" t="s">
        <v>162</v>
      </c>
      <c r="C6" s="247">
        <v>229437</v>
      </c>
      <c r="D6" s="247"/>
      <c r="E6" s="247"/>
      <c r="F6" s="247"/>
      <c r="G6" s="247"/>
      <c r="H6" s="247">
        <f>C6</f>
        <v>229437</v>
      </c>
    </row>
    <row r="7" spans="2:10">
      <c r="B7" s="36" t="s">
        <v>39</v>
      </c>
      <c r="C7" s="247">
        <v>11432</v>
      </c>
      <c r="D7" s="247"/>
      <c r="E7" s="247"/>
      <c r="F7" s="247"/>
      <c r="G7" s="247"/>
      <c r="H7" s="247">
        <f t="shared" ref="H7:H8" si="0">C7</f>
        <v>11432</v>
      </c>
    </row>
    <row r="8" spans="2:10">
      <c r="B8" s="36" t="s">
        <v>163</v>
      </c>
      <c r="C8" s="247">
        <f>C7+4550+3552</f>
        <v>19534</v>
      </c>
      <c r="D8" s="247"/>
      <c r="E8" s="247"/>
      <c r="F8" s="247"/>
      <c r="G8" s="247"/>
      <c r="H8" s="247">
        <f t="shared" si="0"/>
        <v>19534</v>
      </c>
    </row>
    <row r="9" spans="2:10">
      <c r="C9" s="247"/>
      <c r="D9" s="247"/>
      <c r="E9" s="247"/>
      <c r="F9" s="247"/>
      <c r="G9" s="247"/>
      <c r="H9" s="247"/>
    </row>
    <row r="10" spans="2:10">
      <c r="C10" s="247"/>
      <c r="D10" s="247"/>
      <c r="E10" s="247"/>
      <c r="F10" s="247"/>
      <c r="G10" s="247"/>
      <c r="H10" s="248" t="s">
        <v>164</v>
      </c>
      <c r="I10" s="62"/>
    </row>
    <row r="11" spans="2:10">
      <c r="C11" s="247"/>
      <c r="D11" s="247"/>
      <c r="E11" s="247"/>
      <c r="F11" s="247"/>
      <c r="G11" s="247"/>
      <c r="H11" s="39">
        <v>43830</v>
      </c>
      <c r="I11" s="61"/>
    </row>
    <row r="12" spans="2:10">
      <c r="B12" s="36" t="s">
        <v>165</v>
      </c>
      <c r="C12" s="247"/>
      <c r="D12" s="247"/>
      <c r="E12" s="247"/>
      <c r="F12" s="247"/>
      <c r="G12" s="247"/>
      <c r="H12" s="247">
        <f>22670+0-1703</f>
        <v>20967</v>
      </c>
      <c r="I12" s="40"/>
    </row>
    <row r="13" spans="2:10">
      <c r="B13" s="36" t="s">
        <v>166</v>
      </c>
      <c r="C13" s="247"/>
      <c r="D13" s="247"/>
      <c r="E13" s="247"/>
      <c r="F13" s="247"/>
      <c r="G13" s="247"/>
      <c r="H13" s="247">
        <v>0</v>
      </c>
    </row>
    <row r="14" spans="2:10">
      <c r="B14" s="36" t="s">
        <v>167</v>
      </c>
      <c r="C14" s="247"/>
      <c r="D14" s="247"/>
      <c r="E14" s="247"/>
      <c r="F14" s="247"/>
      <c r="G14" s="247"/>
      <c r="H14" s="247">
        <v>0</v>
      </c>
    </row>
    <row r="15" spans="2:10">
      <c r="C15" s="247"/>
      <c r="D15" s="247"/>
      <c r="E15" s="247"/>
      <c r="F15" s="247"/>
      <c r="G15" s="247"/>
      <c r="H15" s="247"/>
    </row>
    <row r="16" spans="2:10">
      <c r="B16" s="36" t="s">
        <v>185</v>
      </c>
      <c r="C16" s="247"/>
      <c r="D16" s="247"/>
      <c r="E16" s="247"/>
      <c r="F16" s="247"/>
      <c r="G16" s="247"/>
      <c r="H16" s="247">
        <v>1703</v>
      </c>
    </row>
    <row r="17" spans="2:8">
      <c r="B17" s="36" t="s">
        <v>186</v>
      </c>
      <c r="C17" s="247"/>
      <c r="D17" s="247"/>
      <c r="E17" s="247"/>
      <c r="F17" s="247"/>
      <c r="G17" s="247"/>
      <c r="H17" s="247">
        <v>230265</v>
      </c>
    </row>
    <row r="18" spans="2:8">
      <c r="C18" s="40"/>
    </row>
  </sheetData>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B30E-E0B8-4315-9300-E08424B5CCD1}">
  <sheetPr codeName="Sheet10">
    <tabColor rgb="FFFFC000"/>
  </sheetPr>
  <dimension ref="B2:J18"/>
  <sheetViews>
    <sheetView workbookViewId="0">
      <selection activeCell="K27" sqref="K27"/>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278</v>
      </c>
    </row>
    <row r="3" spans="2:10">
      <c r="B3" s="38"/>
    </row>
    <row r="4" spans="2:10">
      <c r="C4" s="37" t="s">
        <v>161</v>
      </c>
      <c r="D4" s="63"/>
      <c r="E4" s="37" t="s">
        <v>427</v>
      </c>
      <c r="F4" s="37"/>
      <c r="G4" s="38"/>
      <c r="H4" s="37" t="s">
        <v>144</v>
      </c>
      <c r="I4" s="62"/>
      <c r="J4" s="46"/>
    </row>
    <row r="5" spans="2:10">
      <c r="C5" s="39">
        <v>43830</v>
      </c>
      <c r="D5" s="39"/>
      <c r="E5" s="39"/>
      <c r="F5" s="39"/>
      <c r="G5" s="39"/>
      <c r="H5" s="39">
        <v>43830</v>
      </c>
      <c r="I5" s="61"/>
    </row>
    <row r="6" spans="2:10">
      <c r="B6" s="36" t="s">
        <v>162</v>
      </c>
      <c r="C6" s="247"/>
      <c r="D6" s="247"/>
      <c r="E6" s="247"/>
      <c r="F6" s="247"/>
      <c r="G6" s="247"/>
      <c r="H6" s="247"/>
    </row>
    <row r="7" spans="2:10">
      <c r="B7" s="36" t="s">
        <v>39</v>
      </c>
      <c r="C7" s="247"/>
      <c r="D7" s="247"/>
      <c r="E7" s="247"/>
      <c r="F7" s="247"/>
      <c r="G7" s="247"/>
      <c r="H7" s="247"/>
    </row>
    <row r="8" spans="2:10">
      <c r="B8" s="36" t="s">
        <v>163</v>
      </c>
      <c r="C8" s="247"/>
      <c r="D8" s="247"/>
      <c r="E8" s="247"/>
      <c r="F8" s="247"/>
      <c r="G8" s="247"/>
      <c r="H8" s="247"/>
    </row>
    <row r="9" spans="2:10">
      <c r="C9" s="247"/>
      <c r="D9" s="247"/>
      <c r="E9" s="247"/>
      <c r="F9" s="247"/>
      <c r="G9" s="247"/>
      <c r="H9" s="247"/>
    </row>
    <row r="10" spans="2:10">
      <c r="C10" s="247"/>
      <c r="D10" s="247"/>
      <c r="E10" s="247"/>
      <c r="F10" s="247"/>
      <c r="G10" s="247"/>
      <c r="H10" s="248" t="s">
        <v>164</v>
      </c>
      <c r="I10" s="62"/>
    </row>
    <row r="11" spans="2:10">
      <c r="C11" s="247"/>
      <c r="D11" s="247"/>
      <c r="E11" s="247"/>
      <c r="F11" s="247"/>
      <c r="G11" s="247"/>
      <c r="H11" s="39">
        <v>43830</v>
      </c>
      <c r="I11" s="61"/>
    </row>
    <row r="12" spans="2:10">
      <c r="B12" s="36" t="s">
        <v>165</v>
      </c>
      <c r="C12" s="247"/>
      <c r="D12" s="247"/>
      <c r="E12" s="247"/>
      <c r="F12" s="247"/>
      <c r="G12" s="247"/>
      <c r="H12" s="247"/>
      <c r="I12" s="40"/>
    </row>
    <row r="13" spans="2:10">
      <c r="B13" s="36" t="s">
        <v>166</v>
      </c>
      <c r="C13" s="247"/>
      <c r="D13" s="247"/>
      <c r="E13" s="247"/>
      <c r="F13" s="247"/>
      <c r="G13" s="247"/>
      <c r="H13" s="247"/>
    </row>
    <row r="14" spans="2:10">
      <c r="B14" s="36" t="s">
        <v>167</v>
      </c>
      <c r="C14" s="247"/>
      <c r="D14" s="247"/>
      <c r="E14" s="247"/>
      <c r="F14" s="247"/>
      <c r="G14" s="247"/>
      <c r="H14" s="247"/>
    </row>
    <row r="15" spans="2:10">
      <c r="C15" s="247"/>
      <c r="D15" s="247"/>
      <c r="E15" s="247"/>
      <c r="F15" s="247"/>
      <c r="G15" s="247"/>
      <c r="H15" s="247"/>
    </row>
    <row r="16" spans="2:10">
      <c r="B16" s="36" t="s">
        <v>185</v>
      </c>
      <c r="C16" s="247"/>
      <c r="D16" s="247"/>
      <c r="E16" s="247"/>
      <c r="F16" s="247"/>
      <c r="G16" s="247"/>
      <c r="H16" s="247"/>
    </row>
    <row r="17" spans="2:8">
      <c r="B17" s="36" t="s">
        <v>186</v>
      </c>
      <c r="C17" s="247"/>
      <c r="D17" s="247"/>
      <c r="E17" s="247"/>
      <c r="F17" s="247"/>
      <c r="G17" s="247"/>
      <c r="H17" s="247"/>
    </row>
    <row r="18" spans="2:8">
      <c r="C18" s="40"/>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1AA7-A5CB-45EF-83F4-396B7B5661A7}">
  <sheetPr codeName="Sheet12">
    <tabColor rgb="FFFFC000"/>
  </sheetPr>
  <dimension ref="B2:J18"/>
  <sheetViews>
    <sheetView workbookViewId="0">
      <selection activeCell="K27" sqref="K27"/>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418</v>
      </c>
      <c r="E2" s="246" t="s">
        <v>428</v>
      </c>
      <c r="F2" s="36">
        <v>0.77</v>
      </c>
    </row>
    <row r="3" spans="2:10">
      <c r="B3" s="38"/>
    </row>
    <row r="4" spans="2:10">
      <c r="C4" s="37" t="s">
        <v>161</v>
      </c>
      <c r="D4" s="63"/>
      <c r="E4" s="37" t="s">
        <v>202</v>
      </c>
      <c r="F4" s="37"/>
      <c r="G4" s="38"/>
      <c r="H4" s="37" t="s">
        <v>144</v>
      </c>
      <c r="I4" s="62"/>
      <c r="J4" s="46"/>
    </row>
    <row r="5" spans="2:10">
      <c r="C5" s="39"/>
      <c r="D5" s="39"/>
      <c r="E5" s="39">
        <v>43830</v>
      </c>
      <c r="F5" s="39">
        <v>43465</v>
      </c>
      <c r="G5" s="39"/>
      <c r="H5" s="39">
        <v>43830</v>
      </c>
      <c r="I5" s="61"/>
    </row>
    <row r="6" spans="2:10">
      <c r="B6" s="36" t="s">
        <v>162</v>
      </c>
      <c r="C6" s="40"/>
      <c r="D6" s="40"/>
      <c r="E6" s="40"/>
      <c r="F6" s="40"/>
      <c r="G6" s="40"/>
      <c r="H6" s="40"/>
    </row>
    <row r="7" spans="2:10">
      <c r="B7" s="36" t="s">
        <v>39</v>
      </c>
      <c r="C7" s="40"/>
      <c r="D7" s="40"/>
      <c r="E7" s="40"/>
      <c r="F7" s="40"/>
      <c r="G7" s="40"/>
      <c r="H7" s="40"/>
    </row>
    <row r="8" spans="2:10">
      <c r="B8" s="36" t="s">
        <v>163</v>
      </c>
      <c r="C8" s="40"/>
      <c r="D8" s="40"/>
      <c r="E8" s="40"/>
      <c r="F8" s="40"/>
      <c r="G8" s="40"/>
      <c r="H8" s="40"/>
    </row>
    <row r="10" spans="2:10">
      <c r="H10" s="37" t="s">
        <v>164</v>
      </c>
      <c r="I10" s="62"/>
    </row>
    <row r="11" spans="2:10">
      <c r="H11" s="39">
        <v>43830</v>
      </c>
      <c r="I11" s="61"/>
    </row>
    <row r="12" spans="2:10">
      <c r="B12" s="36" t="s">
        <v>165</v>
      </c>
      <c r="H12" s="40"/>
      <c r="I12" s="64"/>
    </row>
    <row r="13" spans="2:10">
      <c r="B13" s="36" t="s">
        <v>166</v>
      </c>
      <c r="H13" s="40"/>
      <c r="I13" s="40"/>
    </row>
    <row r="14" spans="2:10">
      <c r="B14" s="36" t="s">
        <v>167</v>
      </c>
      <c r="H14" s="40"/>
      <c r="I14" s="40"/>
    </row>
    <row r="15" spans="2:10">
      <c r="H15" s="40"/>
      <c r="I15" s="40"/>
    </row>
    <row r="16" spans="2:10">
      <c r="B16" s="36" t="s">
        <v>185</v>
      </c>
      <c r="H16" s="40"/>
      <c r="I16" s="40"/>
    </row>
    <row r="17" spans="2:9">
      <c r="B17" s="36" t="s">
        <v>186</v>
      </c>
      <c r="H17" s="40"/>
      <c r="I17" s="40"/>
    </row>
    <row r="18" spans="2:9">
      <c r="C18" s="40"/>
    </row>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ACB52-66E6-4EF2-8B5C-40EB78E8EAD4}">
  <sheetPr codeName="Sheet13">
    <tabColor rgb="FFFFC000"/>
  </sheetPr>
  <dimension ref="B2:J18"/>
  <sheetViews>
    <sheetView zoomScaleNormal="100" workbookViewId="0">
      <selection activeCell="I24" sqref="I24"/>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419</v>
      </c>
    </row>
    <row r="3" spans="2:10">
      <c r="B3" s="38"/>
    </row>
    <row r="4" spans="2:10">
      <c r="C4" s="37" t="s">
        <v>161</v>
      </c>
      <c r="D4" s="63"/>
      <c r="E4" s="37" t="s">
        <v>427</v>
      </c>
      <c r="F4" s="37"/>
      <c r="G4" s="38"/>
      <c r="H4" s="37" t="s">
        <v>144</v>
      </c>
      <c r="I4" s="62"/>
      <c r="J4" s="46"/>
    </row>
    <row r="5" spans="2:10">
      <c r="C5" s="39">
        <v>43830</v>
      </c>
      <c r="D5" s="39"/>
      <c r="E5" s="39"/>
      <c r="F5" s="39"/>
      <c r="G5" s="39"/>
      <c r="H5" s="39">
        <v>43830</v>
      </c>
      <c r="I5" s="61"/>
    </row>
    <row r="6" spans="2:10">
      <c r="B6" s="36" t="s">
        <v>162</v>
      </c>
      <c r="C6" s="247"/>
      <c r="D6" s="247"/>
      <c r="E6" s="247"/>
      <c r="F6" s="247"/>
      <c r="G6" s="247"/>
      <c r="H6" s="247"/>
    </row>
    <row r="7" spans="2:10">
      <c r="B7" s="36" t="s">
        <v>39</v>
      </c>
      <c r="C7" s="247"/>
      <c r="D7" s="247"/>
      <c r="E7" s="247"/>
      <c r="F7" s="247"/>
      <c r="G7" s="247"/>
      <c r="H7" s="247"/>
    </row>
    <row r="8" spans="2:10">
      <c r="B8" s="36" t="s">
        <v>163</v>
      </c>
      <c r="C8" s="247"/>
      <c r="D8" s="247"/>
      <c r="E8" s="247"/>
      <c r="F8" s="247"/>
      <c r="G8" s="247"/>
      <c r="H8" s="247"/>
    </row>
    <row r="9" spans="2:10">
      <c r="C9" s="247"/>
      <c r="D9" s="247"/>
      <c r="E9" s="247"/>
      <c r="F9" s="247"/>
      <c r="G9" s="247"/>
      <c r="H9" s="247"/>
    </row>
    <row r="10" spans="2:10">
      <c r="C10" s="247"/>
      <c r="D10" s="247"/>
      <c r="E10" s="247"/>
      <c r="F10" s="247"/>
      <c r="G10" s="247"/>
      <c r="H10" s="248" t="s">
        <v>164</v>
      </c>
      <c r="I10" s="62"/>
    </row>
    <row r="11" spans="2:10">
      <c r="C11" s="247"/>
      <c r="D11" s="247"/>
      <c r="E11" s="247"/>
      <c r="F11" s="247"/>
      <c r="G11" s="247"/>
      <c r="H11" s="39">
        <v>43830</v>
      </c>
      <c r="I11" s="61"/>
    </row>
    <row r="12" spans="2:10">
      <c r="B12" s="36" t="s">
        <v>165</v>
      </c>
      <c r="C12" s="247"/>
      <c r="D12" s="247"/>
      <c r="E12" s="247"/>
      <c r="F12" s="247"/>
      <c r="G12" s="247"/>
      <c r="H12" s="247"/>
      <c r="I12" s="40"/>
    </row>
    <row r="13" spans="2:10">
      <c r="B13" s="36" t="s">
        <v>166</v>
      </c>
      <c r="C13" s="247"/>
      <c r="D13" s="247"/>
      <c r="E13" s="247"/>
      <c r="F13" s="247"/>
      <c r="G13" s="247"/>
      <c r="H13" s="247"/>
    </row>
    <row r="14" spans="2:10">
      <c r="B14" s="36" t="s">
        <v>167</v>
      </c>
      <c r="C14" s="247"/>
      <c r="D14" s="247"/>
      <c r="E14" s="247"/>
      <c r="F14" s="247"/>
      <c r="G14" s="247"/>
      <c r="H14" s="247"/>
    </row>
    <row r="15" spans="2:10">
      <c r="C15" s="247"/>
      <c r="D15" s="247"/>
      <c r="E15" s="247"/>
      <c r="F15" s="247"/>
      <c r="G15" s="247"/>
      <c r="H15" s="247"/>
    </row>
    <row r="16" spans="2:10">
      <c r="B16" s="36" t="s">
        <v>185</v>
      </c>
      <c r="C16" s="247"/>
      <c r="D16" s="247"/>
      <c r="E16" s="247"/>
      <c r="F16" s="247"/>
      <c r="G16" s="247"/>
      <c r="H16" s="247"/>
    </row>
    <row r="17" spans="2:8">
      <c r="B17" s="36" t="s">
        <v>186</v>
      </c>
      <c r="C17" s="247"/>
      <c r="D17" s="247"/>
      <c r="E17" s="247"/>
      <c r="F17" s="247"/>
      <c r="G17" s="247"/>
      <c r="H17" s="247"/>
    </row>
    <row r="18" spans="2:8">
      <c r="C18" s="40"/>
    </row>
  </sheetData>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A2B3-7648-45FC-BE3D-3EB2CBA6866C}">
  <sheetPr codeName="Sheet14"/>
  <dimension ref="B2:J18"/>
  <sheetViews>
    <sheetView zoomScaleNormal="100" workbookViewId="0">
      <selection activeCell="H6" sqref="H6:H8"/>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420</v>
      </c>
    </row>
    <row r="3" spans="2:10">
      <c r="B3" s="38"/>
    </row>
    <row r="4" spans="2:10">
      <c r="C4" s="37" t="s">
        <v>161</v>
      </c>
      <c r="D4" s="63"/>
      <c r="E4" s="37" t="s">
        <v>427</v>
      </c>
      <c r="F4" s="37"/>
      <c r="G4" s="38"/>
      <c r="H4" s="37" t="s">
        <v>144</v>
      </c>
      <c r="I4" s="62"/>
      <c r="J4" s="46"/>
    </row>
    <row r="5" spans="2:10">
      <c r="C5" s="39">
        <v>43830</v>
      </c>
      <c r="D5" s="39"/>
      <c r="E5" s="39"/>
      <c r="F5" s="39"/>
      <c r="G5" s="39"/>
      <c r="H5" s="39">
        <v>43830</v>
      </c>
      <c r="I5" s="61"/>
    </row>
    <row r="6" spans="2:10">
      <c r="B6" s="36" t="s">
        <v>162</v>
      </c>
      <c r="C6" s="247">
        <v>3042478</v>
      </c>
      <c r="D6" s="247"/>
      <c r="E6" s="247"/>
      <c r="F6" s="247"/>
      <c r="G6" s="247"/>
      <c r="H6" s="247">
        <f>C6</f>
        <v>3042478</v>
      </c>
    </row>
    <row r="7" spans="2:10">
      <c r="B7" s="36" t="s">
        <v>39</v>
      </c>
      <c r="C7" s="247">
        <v>394971</v>
      </c>
      <c r="D7" s="247"/>
      <c r="E7" s="247"/>
      <c r="F7" s="247"/>
      <c r="G7" s="247"/>
      <c r="H7" s="247">
        <f t="shared" ref="H7:H8" si="0">C7</f>
        <v>394971</v>
      </c>
    </row>
    <row r="8" spans="2:10">
      <c r="B8" s="36" t="s">
        <v>163</v>
      </c>
      <c r="C8" s="247">
        <f>C7+121725</f>
        <v>516696</v>
      </c>
      <c r="D8" s="247"/>
      <c r="E8" s="247"/>
      <c r="F8" s="247"/>
      <c r="G8" s="247"/>
      <c r="H8" s="247">
        <f t="shared" si="0"/>
        <v>516696</v>
      </c>
    </row>
    <row r="9" spans="2:10">
      <c r="C9" s="247"/>
      <c r="D9" s="247"/>
      <c r="E9" s="247"/>
      <c r="F9" s="247"/>
      <c r="G9" s="247"/>
      <c r="H9" s="247"/>
    </row>
    <row r="10" spans="2:10">
      <c r="C10" s="247"/>
      <c r="D10" s="247"/>
      <c r="E10" s="247"/>
      <c r="F10" s="247"/>
      <c r="G10" s="247"/>
      <c r="H10" s="248" t="s">
        <v>164</v>
      </c>
      <c r="I10" s="62"/>
    </row>
    <row r="11" spans="2:10">
      <c r="C11" s="247"/>
      <c r="D11" s="247"/>
      <c r="E11" s="247"/>
      <c r="F11" s="247"/>
      <c r="G11" s="247"/>
      <c r="H11" s="39">
        <v>43830</v>
      </c>
      <c r="I11" s="61"/>
    </row>
    <row r="12" spans="2:10">
      <c r="B12" s="36" t="s">
        <v>165</v>
      </c>
      <c r="C12" s="247"/>
      <c r="D12" s="247"/>
      <c r="E12" s="247"/>
      <c r="F12" s="247"/>
      <c r="G12" s="247"/>
      <c r="H12" s="247">
        <f>371507+64019-686009-1668</f>
        <v>-252151</v>
      </c>
      <c r="I12" s="40"/>
    </row>
    <row r="13" spans="2:10">
      <c r="B13" s="36" t="s">
        <v>166</v>
      </c>
      <c r="C13" s="247"/>
      <c r="D13" s="247"/>
      <c r="E13" s="247"/>
      <c r="F13" s="247"/>
      <c r="G13" s="247"/>
      <c r="H13" s="247">
        <v>0</v>
      </c>
    </row>
    <row r="14" spans="2:10">
      <c r="B14" s="36" t="s">
        <v>167</v>
      </c>
      <c r="C14" s="247"/>
      <c r="D14" s="247"/>
      <c r="E14" s="247"/>
      <c r="F14" s="247"/>
      <c r="G14" s="247"/>
      <c r="H14" s="247">
        <v>0</v>
      </c>
    </row>
    <row r="15" spans="2:10">
      <c r="C15" s="247"/>
      <c r="D15" s="247"/>
      <c r="E15" s="247"/>
      <c r="F15" s="247"/>
      <c r="G15" s="247"/>
      <c r="H15" s="247"/>
    </row>
    <row r="16" spans="2:10">
      <c r="B16" s="36" t="s">
        <v>185</v>
      </c>
      <c r="C16" s="247"/>
      <c r="D16" s="247"/>
      <c r="E16" s="247"/>
      <c r="F16" s="247"/>
      <c r="G16" s="247"/>
      <c r="H16" s="247">
        <f>686009+1668</f>
        <v>687677</v>
      </c>
    </row>
    <row r="17" spans="2:8">
      <c r="B17" s="36" t="s">
        <v>186</v>
      </c>
      <c r="C17" s="247"/>
      <c r="D17" s="247"/>
      <c r="E17" s="247"/>
      <c r="F17" s="247"/>
      <c r="G17" s="247"/>
      <c r="H17" s="247">
        <v>2931591</v>
      </c>
    </row>
    <row r="18" spans="2:8">
      <c r="C18" s="40"/>
    </row>
  </sheetData>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F3EB-E802-4543-BD3A-F710616BB11D}">
  <sheetPr codeName="Sheet15"/>
  <dimension ref="B2:J18"/>
  <sheetViews>
    <sheetView zoomScaleNormal="100" workbookViewId="0">
      <selection activeCell="D38" sqref="D38"/>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258</v>
      </c>
    </row>
    <row r="3" spans="2:10">
      <c r="B3" s="38"/>
    </row>
    <row r="4" spans="2:10">
      <c r="C4" s="37" t="s">
        <v>161</v>
      </c>
      <c r="D4" s="63"/>
      <c r="E4" s="37" t="s">
        <v>427</v>
      </c>
      <c r="F4" s="37"/>
      <c r="G4" s="38"/>
      <c r="H4" s="37" t="s">
        <v>144</v>
      </c>
      <c r="I4" s="62"/>
      <c r="J4" s="46"/>
    </row>
    <row r="5" spans="2:10">
      <c r="C5" s="39">
        <v>43827</v>
      </c>
      <c r="D5" s="39"/>
      <c r="E5" s="39"/>
      <c r="F5" s="39"/>
      <c r="G5" s="39"/>
      <c r="H5" s="39">
        <v>43827</v>
      </c>
      <c r="I5" s="61"/>
    </row>
    <row r="6" spans="2:10">
      <c r="B6" s="36" t="s">
        <v>162</v>
      </c>
      <c r="C6" s="247">
        <v>913734</v>
      </c>
      <c r="D6" s="247"/>
      <c r="E6" s="247"/>
      <c r="F6" s="247"/>
      <c r="G6" s="247"/>
      <c r="H6" s="247"/>
    </row>
    <row r="7" spans="2:10">
      <c r="B7" s="36" t="s">
        <v>39</v>
      </c>
      <c r="C7" s="247">
        <v>89771</v>
      </c>
      <c r="D7" s="247"/>
      <c r="E7" s="247"/>
      <c r="F7" s="247"/>
      <c r="G7" s="247"/>
      <c r="H7" s="247"/>
    </row>
    <row r="8" spans="2:10">
      <c r="B8" s="36" t="s">
        <v>163</v>
      </c>
      <c r="C8" s="247">
        <f>C7+28959</f>
        <v>118730</v>
      </c>
      <c r="D8" s="247"/>
      <c r="E8" s="247"/>
      <c r="F8" s="247"/>
      <c r="G8" s="247"/>
      <c r="H8" s="247"/>
    </row>
    <row r="9" spans="2:10">
      <c r="C9" s="247"/>
      <c r="D9" s="247"/>
      <c r="E9" s="247"/>
      <c r="F9" s="247"/>
      <c r="G9" s="247"/>
      <c r="H9" s="247"/>
    </row>
    <row r="10" spans="2:10">
      <c r="C10" s="247"/>
      <c r="D10" s="247"/>
      <c r="E10" s="247"/>
      <c r="F10" s="247"/>
      <c r="G10" s="247"/>
      <c r="H10" s="248" t="s">
        <v>164</v>
      </c>
      <c r="I10" s="62"/>
    </row>
    <row r="11" spans="2:10">
      <c r="C11" s="247"/>
      <c r="D11" s="247"/>
      <c r="E11" s="247"/>
      <c r="F11" s="247"/>
      <c r="G11" s="247"/>
      <c r="H11" s="39">
        <v>43827</v>
      </c>
      <c r="I11" s="61"/>
    </row>
    <row r="12" spans="2:10">
      <c r="B12" s="36" t="s">
        <v>165</v>
      </c>
      <c r="C12" s="247"/>
      <c r="D12" s="247"/>
      <c r="E12" s="247"/>
      <c r="F12" s="247"/>
      <c r="G12" s="247"/>
      <c r="H12" s="247">
        <f>281715+42200+15185+7768-72515</f>
        <v>274353</v>
      </c>
      <c r="I12" s="40"/>
    </row>
    <row r="13" spans="2:10">
      <c r="B13" s="36" t="s">
        <v>166</v>
      </c>
      <c r="C13" s="247"/>
      <c r="D13" s="247"/>
      <c r="E13" s="247"/>
      <c r="F13" s="247"/>
      <c r="G13" s="247"/>
      <c r="H13" s="247">
        <v>0</v>
      </c>
    </row>
    <row r="14" spans="2:10">
      <c r="B14" s="36" t="s">
        <v>167</v>
      </c>
      <c r="C14" s="247"/>
      <c r="D14" s="247"/>
      <c r="E14" s="247"/>
      <c r="F14" s="247"/>
      <c r="G14" s="247"/>
      <c r="H14" s="247">
        <v>0</v>
      </c>
    </row>
    <row r="15" spans="2:10">
      <c r="C15" s="247"/>
      <c r="D15" s="247"/>
      <c r="E15" s="247"/>
      <c r="F15" s="247"/>
      <c r="G15" s="247"/>
      <c r="H15" s="247"/>
    </row>
    <row r="16" spans="2:10">
      <c r="B16" s="36" t="s">
        <v>185</v>
      </c>
      <c r="C16" s="247"/>
      <c r="D16" s="247"/>
      <c r="E16" s="247"/>
      <c r="F16" s="247"/>
      <c r="G16" s="247"/>
      <c r="H16" s="247">
        <v>72515</v>
      </c>
    </row>
    <row r="17" spans="2:8">
      <c r="B17" s="36" t="s">
        <v>186</v>
      </c>
      <c r="C17" s="247"/>
      <c r="D17" s="247"/>
      <c r="E17" s="247"/>
      <c r="F17" s="247"/>
      <c r="G17" s="247"/>
      <c r="H17" s="247">
        <v>629539</v>
      </c>
    </row>
    <row r="18" spans="2:8">
      <c r="C18" s="40"/>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17D6-B895-4ECB-BB5B-AF004747C2D9}">
  <sheetPr codeName="Sheet5"/>
  <dimension ref="B1:J16"/>
  <sheetViews>
    <sheetView zoomScaleNormal="100" workbookViewId="0">
      <pane xSplit="2" ySplit="2" topLeftCell="C8" activePane="bottomRight" state="frozen"/>
      <selection pane="topRight" activeCell="C1" sqref="C1"/>
      <selection pane="bottomLeft" activeCell="A3" sqref="A3"/>
      <selection pane="bottomRight" activeCell="C12" sqref="C12"/>
    </sheetView>
  </sheetViews>
  <sheetFormatPr defaultRowHeight="12.5"/>
  <cols>
    <col min="1" max="1" width="3.90625" customWidth="1"/>
    <col min="2" max="2" width="25.7265625" bestFit="1" customWidth="1"/>
    <col min="3" max="3" width="41.54296875" bestFit="1" customWidth="1"/>
    <col min="4" max="4" width="52.90625" style="59" customWidth="1"/>
    <col min="5" max="5" width="9.6328125" bestFit="1" customWidth="1"/>
    <col min="6" max="6" width="11.26953125" bestFit="1" customWidth="1"/>
    <col min="7" max="7" width="15.08984375" bestFit="1" customWidth="1"/>
    <col min="8" max="8" width="10.81640625" bestFit="1" customWidth="1"/>
    <col min="9" max="9" width="7.7265625" bestFit="1" customWidth="1"/>
    <col min="10" max="10" width="10.36328125" bestFit="1" customWidth="1"/>
  </cols>
  <sheetData>
    <row r="1" spans="2:10">
      <c r="G1" s="48" t="s">
        <v>191</v>
      </c>
      <c r="H1" s="49"/>
    </row>
    <row r="2" spans="2:10">
      <c r="B2" s="44" t="s">
        <v>179</v>
      </c>
      <c r="C2" s="44" t="s">
        <v>178</v>
      </c>
      <c r="D2" s="60" t="s">
        <v>180</v>
      </c>
      <c r="E2" s="44" t="s">
        <v>181</v>
      </c>
      <c r="F2" s="44" t="s">
        <v>183</v>
      </c>
      <c r="G2" s="44" t="s">
        <v>222</v>
      </c>
      <c r="H2" s="44" t="s">
        <v>223</v>
      </c>
      <c r="I2" s="44" t="s">
        <v>205</v>
      </c>
      <c r="J2" s="44" t="s">
        <v>224</v>
      </c>
    </row>
    <row r="3" spans="2:10" ht="76" customHeight="1">
      <c r="B3" s="47" t="s">
        <v>219</v>
      </c>
      <c r="C3" s="44" t="s">
        <v>220</v>
      </c>
      <c r="D3" s="58" t="s">
        <v>221</v>
      </c>
      <c r="E3" s="44" t="s">
        <v>194</v>
      </c>
      <c r="F3" s="44" t="s">
        <v>192</v>
      </c>
      <c r="G3" s="44" t="s">
        <v>192</v>
      </c>
      <c r="H3" s="44" t="s">
        <v>184</v>
      </c>
      <c r="I3" s="44" t="s">
        <v>192</v>
      </c>
      <c r="J3" s="44" t="s">
        <v>192</v>
      </c>
    </row>
    <row r="4" spans="2:10" ht="61.5" customHeight="1">
      <c r="B4" s="47" t="s">
        <v>225</v>
      </c>
      <c r="C4" s="44" t="s">
        <v>226</v>
      </c>
      <c r="D4" s="58" t="s">
        <v>227</v>
      </c>
      <c r="E4" s="44" t="s">
        <v>193</v>
      </c>
      <c r="F4" s="44" t="s">
        <v>192</v>
      </c>
      <c r="G4" s="44" t="s">
        <v>184</v>
      </c>
      <c r="H4" s="44" t="s">
        <v>184</v>
      </c>
      <c r="I4" s="44" t="s">
        <v>192</v>
      </c>
      <c r="J4" s="44" t="s">
        <v>192</v>
      </c>
    </row>
    <row r="5" spans="2:10" ht="55" customHeight="1">
      <c r="B5" s="47" t="s">
        <v>228</v>
      </c>
      <c r="C5" s="44" t="s">
        <v>220</v>
      </c>
      <c r="D5" s="58" t="s">
        <v>237</v>
      </c>
      <c r="E5" s="44" t="s">
        <v>194</v>
      </c>
      <c r="F5" s="44" t="s">
        <v>184</v>
      </c>
      <c r="G5" s="44" t="s">
        <v>192</v>
      </c>
      <c r="H5" s="44" t="s">
        <v>184</v>
      </c>
      <c r="I5" s="44" t="s">
        <v>184</v>
      </c>
      <c r="J5" s="44" t="s">
        <v>192</v>
      </c>
    </row>
    <row r="6" spans="2:10" ht="75" customHeight="1">
      <c r="B6" s="47" t="s">
        <v>229</v>
      </c>
      <c r="C6" s="44" t="s">
        <v>239</v>
      </c>
      <c r="D6" s="58" t="s">
        <v>238</v>
      </c>
      <c r="E6" s="44" t="s">
        <v>193</v>
      </c>
      <c r="F6" s="44" t="s">
        <v>184</v>
      </c>
      <c r="G6" s="44" t="s">
        <v>184</v>
      </c>
      <c r="H6" s="44" t="s">
        <v>240</v>
      </c>
      <c r="I6" s="44" t="s">
        <v>184</v>
      </c>
      <c r="J6" s="44" t="s">
        <v>184</v>
      </c>
    </row>
    <row r="7" spans="2:10" ht="75" customHeight="1">
      <c r="B7" s="47" t="s">
        <v>230</v>
      </c>
      <c r="C7" s="44" t="s">
        <v>241</v>
      </c>
      <c r="D7" s="58" t="s">
        <v>242</v>
      </c>
      <c r="E7" s="44" t="s">
        <v>194</v>
      </c>
      <c r="F7" s="44" t="s">
        <v>184</v>
      </c>
      <c r="G7" s="44" t="s">
        <v>192</v>
      </c>
      <c r="H7" s="44" t="s">
        <v>184</v>
      </c>
      <c r="I7" s="44" t="s">
        <v>184</v>
      </c>
      <c r="J7" s="44" t="s">
        <v>192</v>
      </c>
    </row>
    <row r="8" spans="2:10" ht="75" customHeight="1">
      <c r="B8" s="47" t="s">
        <v>231</v>
      </c>
      <c r="C8" s="44" t="s">
        <v>241</v>
      </c>
      <c r="D8" s="58" t="s">
        <v>243</v>
      </c>
      <c r="E8" s="44" t="s">
        <v>193</v>
      </c>
      <c r="F8" s="44" t="s">
        <v>192</v>
      </c>
      <c r="G8" s="44" t="s">
        <v>192</v>
      </c>
      <c r="H8" s="44" t="s">
        <v>184</v>
      </c>
      <c r="I8" s="44" t="s">
        <v>192</v>
      </c>
      <c r="J8" s="44" t="s">
        <v>192</v>
      </c>
    </row>
    <row r="9" spans="2:10" ht="75" customHeight="1">
      <c r="B9" s="47" t="s">
        <v>232</v>
      </c>
      <c r="C9" s="44" t="s">
        <v>244</v>
      </c>
      <c r="D9" s="58" t="s">
        <v>245</v>
      </c>
      <c r="E9" s="44" t="s">
        <v>255</v>
      </c>
      <c r="F9" s="44" t="s">
        <v>192</v>
      </c>
      <c r="G9" s="44" t="s">
        <v>192</v>
      </c>
      <c r="H9" s="44" t="s">
        <v>184</v>
      </c>
      <c r="I9" s="44" t="s">
        <v>192</v>
      </c>
      <c r="J9" s="44" t="s">
        <v>192</v>
      </c>
    </row>
    <row r="10" spans="2:10" ht="75" customHeight="1">
      <c r="B10" s="47" t="s">
        <v>233</v>
      </c>
      <c r="C10" s="44" t="s">
        <v>220</v>
      </c>
      <c r="D10" s="58" t="s">
        <v>246</v>
      </c>
      <c r="E10" s="44" t="s">
        <v>194</v>
      </c>
      <c r="F10" s="44" t="s">
        <v>184</v>
      </c>
      <c r="G10" s="44" t="s">
        <v>192</v>
      </c>
      <c r="H10" s="44" t="s">
        <v>184</v>
      </c>
      <c r="I10" s="44" t="s">
        <v>184</v>
      </c>
      <c r="J10" s="44" t="s">
        <v>184</v>
      </c>
    </row>
    <row r="11" spans="2:10" ht="75" customHeight="1">
      <c r="B11" s="47" t="s">
        <v>234</v>
      </c>
      <c r="C11" s="44" t="s">
        <v>251</v>
      </c>
      <c r="D11" s="58" t="s">
        <v>247</v>
      </c>
      <c r="E11" s="44" t="s">
        <v>193</v>
      </c>
      <c r="F11" s="44" t="s">
        <v>192</v>
      </c>
      <c r="G11" s="44" t="s">
        <v>192</v>
      </c>
      <c r="H11" s="44" t="s">
        <v>192</v>
      </c>
      <c r="I11" s="44" t="s">
        <v>192</v>
      </c>
      <c r="J11" s="44" t="s">
        <v>192</v>
      </c>
    </row>
    <row r="12" spans="2:10" ht="75" customHeight="1">
      <c r="B12" s="47" t="s">
        <v>235</v>
      </c>
      <c r="C12" s="44" t="s">
        <v>251</v>
      </c>
      <c r="D12" s="58" t="s">
        <v>248</v>
      </c>
      <c r="E12" s="44" t="s">
        <v>193</v>
      </c>
      <c r="F12" s="44" t="s">
        <v>192</v>
      </c>
      <c r="G12" s="44" t="s">
        <v>192</v>
      </c>
      <c r="H12" s="44" t="s">
        <v>184</v>
      </c>
      <c r="I12" s="44" t="s">
        <v>192</v>
      </c>
      <c r="J12" s="44" t="s">
        <v>192</v>
      </c>
    </row>
    <row r="13" spans="2:10" ht="75" customHeight="1">
      <c r="B13" s="47" t="s">
        <v>236</v>
      </c>
      <c r="C13" s="44" t="s">
        <v>254</v>
      </c>
      <c r="D13" s="58" t="s">
        <v>249</v>
      </c>
      <c r="E13" s="44" t="s">
        <v>194</v>
      </c>
      <c r="F13" s="44" t="s">
        <v>184</v>
      </c>
      <c r="G13" s="44" t="s">
        <v>192</v>
      </c>
      <c r="H13" s="44" t="s">
        <v>184</v>
      </c>
      <c r="I13" s="44" t="s">
        <v>184</v>
      </c>
      <c r="J13" s="44" t="s">
        <v>192</v>
      </c>
    </row>
    <row r="16" spans="2:10">
      <c r="J16" s="44" t="s">
        <v>414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773B-5B30-42A4-85FD-154F10D8031A}">
  <sheetPr codeName="Sheet6"/>
  <dimension ref="B2:Q31"/>
  <sheetViews>
    <sheetView showGridLines="0" zoomScaleNormal="100" workbookViewId="0">
      <selection activeCell="E15" sqref="E15"/>
    </sheetView>
  </sheetViews>
  <sheetFormatPr defaultColWidth="9.1796875" defaultRowHeight="14.5" outlineLevelCol="1"/>
  <cols>
    <col min="1" max="1" width="3.1796875" style="4" customWidth="1"/>
    <col min="2" max="2" width="33.81640625" style="4" customWidth="1"/>
    <col min="3" max="3" width="11.81640625" style="4" customWidth="1"/>
    <col min="4" max="4" width="11.54296875" style="4" bestFit="1" customWidth="1"/>
    <col min="5" max="5" width="14.81640625" style="4" bestFit="1" customWidth="1"/>
    <col min="6" max="6" width="14.453125" style="4" bestFit="1" customWidth="1"/>
    <col min="7" max="7" width="15.26953125" style="4" bestFit="1" customWidth="1"/>
    <col min="8" max="9" width="11.54296875" style="4" customWidth="1"/>
    <col min="10" max="10" width="13.54296875" style="4" customWidth="1"/>
    <col min="11" max="11" width="9.1796875" style="4" customWidth="1" outlineLevel="1"/>
    <col min="12" max="12" width="13.08984375" style="4" customWidth="1" outlineLevel="1"/>
    <col min="13" max="13" width="12.453125" style="4" customWidth="1" outlineLevel="1"/>
    <col min="14" max="14" width="15.90625" style="4" customWidth="1"/>
    <col min="15" max="15" width="9.1796875" style="4"/>
    <col min="16" max="16" width="17.26953125" style="4" customWidth="1"/>
    <col min="17" max="17" width="12.26953125" style="4" customWidth="1"/>
    <col min="18" max="16384" width="9.1796875" style="4"/>
  </cols>
  <sheetData>
    <row r="2" spans="2:17" ht="25">
      <c r="B2" s="2" t="s">
        <v>139</v>
      </c>
      <c r="C2" s="2"/>
      <c r="D2" s="3"/>
      <c r="E2" s="3"/>
      <c r="F2" s="3"/>
      <c r="G2" s="3"/>
      <c r="H2" s="3"/>
      <c r="I2" s="3"/>
      <c r="J2" s="3"/>
      <c r="K2" s="3"/>
      <c r="L2" s="3"/>
    </row>
    <row r="3" spans="2:17">
      <c r="B3" s="5" t="s">
        <v>416</v>
      </c>
      <c r="C3" s="5"/>
      <c r="D3" s="3"/>
      <c r="E3" s="3"/>
      <c r="F3" s="3"/>
      <c r="G3" s="3"/>
      <c r="H3" s="3"/>
      <c r="I3" s="3"/>
      <c r="J3" s="3"/>
      <c r="K3" s="3"/>
      <c r="L3" s="3"/>
    </row>
    <row r="4" spans="2:17">
      <c r="B4" s="240" t="s">
        <v>425</v>
      </c>
      <c r="C4" s="244">
        <v>43830</v>
      </c>
      <c r="D4" s="6"/>
      <c r="E4" s="6"/>
      <c r="F4" s="6"/>
      <c r="G4" s="6"/>
      <c r="H4" s="6"/>
      <c r="I4" s="6"/>
      <c r="J4" s="6"/>
      <c r="K4" s="6"/>
      <c r="L4" s="6"/>
    </row>
    <row r="5" spans="2:17">
      <c r="B5" s="241" t="s">
        <v>426</v>
      </c>
      <c r="C5" s="243">
        <v>43933</v>
      </c>
      <c r="D5" s="6"/>
      <c r="E5" s="6"/>
      <c r="F5" s="6"/>
      <c r="G5" s="6"/>
      <c r="H5" s="6"/>
      <c r="I5" s="6"/>
      <c r="J5" s="6"/>
      <c r="K5" s="6"/>
      <c r="L5" s="6"/>
    </row>
    <row r="6" spans="2:17">
      <c r="B6" s="242" t="s">
        <v>256</v>
      </c>
      <c r="C6" s="245" t="s">
        <v>258</v>
      </c>
      <c r="D6" s="6"/>
      <c r="E6" s="6"/>
      <c r="F6" s="6"/>
      <c r="G6" s="6"/>
      <c r="H6" s="7" t="s">
        <v>140</v>
      </c>
      <c r="I6" s="7"/>
      <c r="J6" s="7"/>
      <c r="K6" s="6"/>
      <c r="N6" s="8" t="s">
        <v>141</v>
      </c>
      <c r="O6" s="41"/>
      <c r="P6" s="41"/>
      <c r="Q6" s="41"/>
    </row>
    <row r="7" spans="2:17">
      <c r="B7" s="3"/>
      <c r="C7" s="3"/>
      <c r="D7" s="6"/>
      <c r="E7" s="6"/>
      <c r="F7" s="6" t="s">
        <v>142</v>
      </c>
      <c r="G7" s="6" t="s">
        <v>143</v>
      </c>
      <c r="H7" s="6"/>
      <c r="I7" s="6"/>
      <c r="J7" s="6"/>
      <c r="K7" s="6" t="s">
        <v>145</v>
      </c>
      <c r="L7" s="6" t="s">
        <v>146</v>
      </c>
      <c r="M7" s="6" t="s">
        <v>168</v>
      </c>
      <c r="N7" s="6" t="s">
        <v>145</v>
      </c>
      <c r="O7" s="6" t="s">
        <v>145</v>
      </c>
      <c r="P7" s="6" t="s">
        <v>176</v>
      </c>
      <c r="Q7" s="45" t="s">
        <v>188</v>
      </c>
    </row>
    <row r="8" spans="2:17" ht="15" thickBot="1">
      <c r="B8" s="9" t="s">
        <v>87</v>
      </c>
      <c r="C8" s="9" t="s">
        <v>147</v>
      </c>
      <c r="D8" s="10" t="s">
        <v>68</v>
      </c>
      <c r="E8" s="11"/>
      <c r="F8" s="11" t="s">
        <v>148</v>
      </c>
      <c r="G8" s="11" t="s">
        <v>149</v>
      </c>
      <c r="H8" s="11" t="s">
        <v>175</v>
      </c>
      <c r="I8" s="11" t="s">
        <v>204</v>
      </c>
      <c r="J8" s="11" t="s">
        <v>174</v>
      </c>
      <c r="K8" s="11" t="s">
        <v>150</v>
      </c>
      <c r="L8" s="11" t="s">
        <v>152</v>
      </c>
      <c r="M8" s="11" t="s">
        <v>88</v>
      </c>
      <c r="N8" s="11" t="s">
        <v>151</v>
      </c>
      <c r="O8" s="11" t="s">
        <v>169</v>
      </c>
      <c r="P8" s="11" t="s">
        <v>177</v>
      </c>
      <c r="Q8" s="11" t="s">
        <v>189</v>
      </c>
    </row>
    <row r="9" spans="2:17">
      <c r="B9" s="32" t="s">
        <v>257</v>
      </c>
      <c r="C9" s="3" t="s">
        <v>258</v>
      </c>
      <c r="D9" s="12">
        <v>23.3</v>
      </c>
      <c r="E9" s="1"/>
      <c r="F9" s="249">
        <v>2024600</v>
      </c>
      <c r="G9" s="14"/>
      <c r="H9" s="15"/>
      <c r="I9" s="15"/>
      <c r="J9" s="15"/>
      <c r="K9" s="12"/>
      <c r="L9" s="16"/>
      <c r="M9" s="249"/>
      <c r="N9" s="13"/>
      <c r="O9" s="15"/>
      <c r="P9" s="15"/>
    </row>
    <row r="10" spans="2:17">
      <c r="B10" s="3"/>
      <c r="C10" s="3"/>
      <c r="D10" s="12"/>
      <c r="E10" s="1"/>
      <c r="F10" s="13"/>
      <c r="G10" s="14"/>
      <c r="H10" s="15"/>
      <c r="I10" s="15"/>
      <c r="J10" s="15"/>
      <c r="K10" s="12"/>
      <c r="L10" s="16"/>
      <c r="M10" s="249"/>
    </row>
    <row r="11" spans="2:17">
      <c r="B11" s="47" t="s">
        <v>273</v>
      </c>
      <c r="C11" s="3" t="s">
        <v>274</v>
      </c>
      <c r="D11" s="17">
        <v>11.61</v>
      </c>
      <c r="E11" s="1"/>
      <c r="F11" s="249">
        <v>1092600</v>
      </c>
      <c r="G11" s="14"/>
      <c r="H11" s="15"/>
      <c r="I11" s="15"/>
      <c r="J11" s="15"/>
      <c r="K11" s="17"/>
      <c r="L11" s="16"/>
      <c r="M11" s="249"/>
    </row>
    <row r="12" spans="2:17">
      <c r="B12" s="47" t="s">
        <v>417</v>
      </c>
      <c r="C12" s="3" t="s">
        <v>272</v>
      </c>
      <c r="D12" s="17">
        <v>9.7799999999999994</v>
      </c>
      <c r="E12" s="1"/>
      <c r="F12" s="249">
        <v>291000</v>
      </c>
      <c r="G12" s="14"/>
      <c r="H12" s="15"/>
      <c r="I12" s="15"/>
      <c r="J12" s="15"/>
      <c r="K12" s="17">
        <v>0.56000000000000005</v>
      </c>
      <c r="L12" s="16">
        <v>0.1</v>
      </c>
      <c r="M12" s="249">
        <v>166205</v>
      </c>
    </row>
    <row r="13" spans="2:17">
      <c r="B13" s="47" t="s">
        <v>424</v>
      </c>
      <c r="C13" s="3" t="s">
        <v>278</v>
      </c>
      <c r="D13" s="17">
        <v>203.51</v>
      </c>
      <c r="E13" s="1"/>
      <c r="F13" s="249">
        <v>26489900</v>
      </c>
      <c r="G13" s="14"/>
      <c r="H13" s="15"/>
      <c r="I13" s="15"/>
      <c r="J13" s="15"/>
      <c r="K13" s="17">
        <v>6.04</v>
      </c>
      <c r="L13" s="16">
        <v>0.159</v>
      </c>
      <c r="M13" s="249">
        <v>1952218</v>
      </c>
    </row>
    <row r="14" spans="2:17">
      <c r="B14" s="47" t="s">
        <v>423</v>
      </c>
      <c r="C14" s="3" t="s">
        <v>418</v>
      </c>
      <c r="D14" s="17">
        <v>22.11</v>
      </c>
      <c r="E14" s="1"/>
      <c r="F14" s="249">
        <v>2425700</v>
      </c>
      <c r="G14" s="14"/>
      <c r="H14" s="15"/>
      <c r="I14" s="15"/>
      <c r="J14" s="15"/>
      <c r="K14" s="17">
        <v>0.64</v>
      </c>
      <c r="L14" s="16">
        <v>0.28570000000000001</v>
      </c>
      <c r="M14" s="249">
        <f>399100*0.77</f>
        <v>307307</v>
      </c>
    </row>
    <row r="15" spans="2:17">
      <c r="B15" s="47" t="s">
        <v>422</v>
      </c>
      <c r="C15" s="3" t="s">
        <v>419</v>
      </c>
      <c r="D15" s="17">
        <v>63.73</v>
      </c>
      <c r="E15" s="1"/>
      <c r="F15" s="249">
        <v>637000</v>
      </c>
      <c r="G15" s="14"/>
      <c r="H15" s="15"/>
      <c r="I15" s="15"/>
      <c r="J15" s="15"/>
      <c r="K15" s="17">
        <v>3.58</v>
      </c>
      <c r="L15" s="16">
        <v>0.14000000000000001</v>
      </c>
      <c r="M15" s="249">
        <v>330239</v>
      </c>
    </row>
    <row r="16" spans="2:17">
      <c r="B16" s="66" t="s">
        <v>421</v>
      </c>
      <c r="C16" s="3" t="s">
        <v>420</v>
      </c>
      <c r="D16" s="17">
        <v>72.510000000000005</v>
      </c>
      <c r="E16" s="19"/>
      <c r="F16" s="249">
        <v>5069400</v>
      </c>
      <c r="G16" s="14"/>
      <c r="H16" s="15"/>
      <c r="I16" s="15"/>
      <c r="J16" s="15"/>
      <c r="K16" s="17">
        <v>4.78</v>
      </c>
      <c r="L16" s="16">
        <v>7.4999999999999997E-2</v>
      </c>
      <c r="M16" s="249">
        <v>1849447</v>
      </c>
    </row>
    <row r="17" spans="2:17">
      <c r="B17" s="66"/>
      <c r="C17" s="3"/>
      <c r="D17" s="17"/>
      <c r="E17" s="19"/>
      <c r="F17" s="249"/>
      <c r="G17" s="14"/>
      <c r="H17" s="15"/>
      <c r="I17" s="15"/>
      <c r="J17" s="15"/>
      <c r="K17" s="18"/>
      <c r="L17" s="15"/>
      <c r="M17" s="249"/>
    </row>
    <row r="18" spans="2:17">
      <c r="B18" s="3"/>
      <c r="C18" s="3"/>
      <c r="D18" s="18"/>
      <c r="E18" s="19"/>
      <c r="F18" s="14"/>
      <c r="G18" s="20" t="s">
        <v>153</v>
      </c>
      <c r="H18" s="21"/>
      <c r="I18" s="22"/>
      <c r="J18" s="22"/>
      <c r="K18" s="23"/>
      <c r="L18" s="22"/>
      <c r="M18" s="22"/>
      <c r="N18" s="22"/>
      <c r="O18" s="22"/>
      <c r="P18" s="22"/>
      <c r="Q18" s="24"/>
    </row>
    <row r="19" spans="2:17">
      <c r="B19" s="3"/>
      <c r="C19" s="3"/>
      <c r="D19" s="18"/>
      <c r="E19" s="19"/>
      <c r="F19" s="14"/>
      <c r="G19" s="20" t="s">
        <v>154</v>
      </c>
      <c r="H19" s="25"/>
      <c r="I19" s="42"/>
      <c r="J19" s="42"/>
      <c r="K19" s="43"/>
      <c r="L19" s="42"/>
      <c r="M19" s="42"/>
      <c r="N19" s="42"/>
      <c r="O19" s="42"/>
      <c r="P19" s="42"/>
      <c r="Q19" s="26"/>
    </row>
    <row r="20" spans="2:17">
      <c r="B20" s="3"/>
      <c r="C20" s="3"/>
      <c r="D20" s="18"/>
      <c r="E20" s="19"/>
      <c r="F20" s="14"/>
      <c r="G20" s="20" t="s">
        <v>155</v>
      </c>
      <c r="H20" s="25"/>
      <c r="I20" s="42"/>
      <c r="J20" s="42"/>
      <c r="K20" s="43"/>
      <c r="L20" s="42"/>
      <c r="M20" s="42"/>
      <c r="N20" s="42"/>
      <c r="O20" s="42"/>
      <c r="P20" s="42"/>
      <c r="Q20" s="26"/>
    </row>
    <row r="21" spans="2:17">
      <c r="B21" s="3"/>
      <c r="C21" s="3"/>
      <c r="D21" s="18"/>
      <c r="E21" s="19"/>
      <c r="F21" s="14"/>
      <c r="G21" s="20" t="s">
        <v>156</v>
      </c>
      <c r="H21" s="27"/>
      <c r="I21" s="28"/>
      <c r="J21" s="28"/>
      <c r="K21" s="29"/>
      <c r="L21" s="28"/>
      <c r="M21" s="28"/>
      <c r="N21" s="28"/>
      <c r="O21" s="28"/>
      <c r="P21" s="28"/>
      <c r="Q21" s="30"/>
    </row>
    <row r="22" spans="2:17">
      <c r="B22" s="3"/>
      <c r="C22" s="3"/>
      <c r="D22" s="18"/>
      <c r="E22" s="19"/>
      <c r="F22" s="14"/>
      <c r="G22" s="14"/>
      <c r="H22" s="15"/>
      <c r="I22" s="15"/>
      <c r="J22" s="15"/>
      <c r="K22" s="18"/>
      <c r="L22" s="15"/>
    </row>
    <row r="23" spans="2:17">
      <c r="B23" s="3"/>
      <c r="C23" s="3"/>
      <c r="D23" s="3"/>
      <c r="E23" s="3"/>
      <c r="F23" s="3"/>
      <c r="G23" s="3"/>
      <c r="H23" s="3"/>
      <c r="I23" s="3"/>
      <c r="J23" s="3"/>
      <c r="K23" s="3"/>
      <c r="L23" s="3"/>
    </row>
    <row r="24" spans="2:17" ht="42.5">
      <c r="B24" s="3"/>
      <c r="C24" s="3"/>
      <c r="D24" s="31" t="s">
        <v>157</v>
      </c>
      <c r="E24" s="31" t="s">
        <v>63</v>
      </c>
      <c r="F24" s="31" t="s">
        <v>18</v>
      </c>
      <c r="G24" s="31" t="s">
        <v>158</v>
      </c>
      <c r="H24" s="31" t="s">
        <v>171</v>
      </c>
      <c r="I24" s="31" t="s">
        <v>203</v>
      </c>
      <c r="J24" s="31" t="s">
        <v>170</v>
      </c>
      <c r="K24" s="31"/>
      <c r="N24" s="31" t="s">
        <v>159</v>
      </c>
      <c r="O24" s="31" t="s">
        <v>172</v>
      </c>
      <c r="P24" s="31" t="s">
        <v>173</v>
      </c>
      <c r="Q24" s="31" t="s">
        <v>187</v>
      </c>
    </row>
    <row r="25" spans="2:17">
      <c r="B25" s="32" t="s">
        <v>415</v>
      </c>
      <c r="C25" s="3"/>
      <c r="D25" s="33"/>
      <c r="E25" s="14"/>
      <c r="F25" s="14"/>
      <c r="G25" s="14"/>
      <c r="H25" s="3"/>
      <c r="I25" s="3"/>
      <c r="J25" s="15"/>
      <c r="K25" s="17"/>
      <c r="L25" s="34"/>
    </row>
    <row r="26" spans="2:17">
      <c r="B26" s="3"/>
      <c r="C26" s="3"/>
      <c r="D26" s="33"/>
      <c r="E26" s="14"/>
      <c r="F26" s="14"/>
      <c r="G26" s="14"/>
      <c r="H26" s="3"/>
      <c r="I26" s="3"/>
      <c r="J26" s="15"/>
      <c r="K26" s="17"/>
      <c r="L26" s="34"/>
    </row>
    <row r="27" spans="2:17">
      <c r="D27" s="33"/>
      <c r="E27" s="14"/>
      <c r="F27" s="14"/>
      <c r="G27" s="14"/>
      <c r="J27" s="34"/>
    </row>
    <row r="28" spans="2:17">
      <c r="D28" s="33"/>
      <c r="E28" s="14"/>
      <c r="F28" s="14"/>
      <c r="G28" s="14"/>
      <c r="J28" s="34"/>
    </row>
    <row r="29" spans="2:17">
      <c r="D29" s="33"/>
      <c r="E29" s="14"/>
      <c r="F29" s="14"/>
      <c r="G29" s="14"/>
      <c r="H29" s="34"/>
      <c r="I29" s="34"/>
    </row>
    <row r="30" spans="2:17">
      <c r="D30" s="33"/>
      <c r="E30" s="14"/>
      <c r="F30" s="14"/>
      <c r="G30" s="14"/>
      <c r="H30" s="34"/>
      <c r="I30" s="34"/>
    </row>
    <row r="31" spans="2:17">
      <c r="F31" s="14"/>
      <c r="G31" s="14"/>
    </row>
  </sheetData>
  <pageMargins left="0.7" right="0.7" top="0.75" bottom="0.75" header="0.3" footer="0.3"/>
  <pageSetup orientation="portrait" verticalDpi="9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DA120-C59E-4403-91BF-217DEBAECEC5}">
  <sheetPr codeName="Sheet111"/>
  <dimension ref="A2:V163"/>
  <sheetViews>
    <sheetView showGridLines="0" zoomScale="85" zoomScaleNormal="85" workbookViewId="0">
      <selection activeCell="K56" sqref="K56:M56"/>
    </sheetView>
  </sheetViews>
  <sheetFormatPr defaultColWidth="9.1796875" defaultRowHeight="14" outlineLevelRow="1"/>
  <cols>
    <col min="1" max="1" width="3.81640625" style="67" customWidth="1"/>
    <col min="2" max="2" width="30.7265625" style="67" customWidth="1"/>
    <col min="3" max="3" width="16.453125" style="67" customWidth="1"/>
    <col min="4" max="4" width="8.54296875" style="67" customWidth="1"/>
    <col min="5" max="5" width="9.7265625" style="67" customWidth="1"/>
    <col min="6" max="6" width="20.1796875" style="67" bestFit="1" customWidth="1"/>
    <col min="7" max="7" width="9.81640625" style="67" customWidth="1"/>
    <col min="8" max="8" width="13.6328125" style="67" bestFit="1" customWidth="1"/>
    <col min="9" max="9" width="10.54296875" style="67" customWidth="1"/>
    <col min="10" max="10" width="9.54296875" style="67" customWidth="1"/>
    <col min="11" max="11" width="11.81640625" style="67" customWidth="1"/>
    <col min="12" max="13" width="11.1796875" style="67" bestFit="1" customWidth="1"/>
    <col min="14" max="14" width="15.1796875" style="67" bestFit="1" customWidth="1"/>
    <col min="15" max="18" width="11.1796875" style="67" bestFit="1" customWidth="1"/>
    <col min="19" max="19" width="11.54296875" style="67" bestFit="1" customWidth="1"/>
    <col min="20" max="16384" width="9.1796875" style="67"/>
  </cols>
  <sheetData>
    <row r="2" spans="1:18">
      <c r="B2" s="68" t="s">
        <v>256</v>
      </c>
      <c r="C2" s="69" t="s">
        <v>257</v>
      </c>
    </row>
    <row r="3" spans="1:18">
      <c r="B3" s="70" t="s">
        <v>147</v>
      </c>
      <c r="C3" s="71" t="s">
        <v>258</v>
      </c>
    </row>
    <row r="4" spans="1:18">
      <c r="B4" s="72" t="s">
        <v>259</v>
      </c>
      <c r="C4" s="73">
        <v>43915</v>
      </c>
    </row>
    <row r="6" spans="1:18">
      <c r="B6" s="74" t="str">
        <f>C2&amp;" ("&amp;C3&amp;") DISCOUNTED CASH FLOWS MODEL"</f>
        <v>Yeti Holdings Inc (YETI) DISCOUNTED CASH FLOWS MODEL</v>
      </c>
    </row>
    <row r="7" spans="1:18">
      <c r="B7" s="75" t="s">
        <v>260</v>
      </c>
      <c r="D7" s="75"/>
      <c r="E7" s="75"/>
    </row>
    <row r="8" spans="1:18">
      <c r="B8" s="75"/>
      <c r="D8" s="75"/>
      <c r="E8" s="75"/>
    </row>
    <row r="9" spans="1:18">
      <c r="A9" s="67" t="s">
        <v>92</v>
      </c>
      <c r="B9" s="76" t="s">
        <v>43</v>
      </c>
      <c r="C9" s="77"/>
      <c r="D9" s="76"/>
      <c r="E9" s="76"/>
      <c r="F9" s="77"/>
      <c r="G9" s="77"/>
      <c r="H9" s="77"/>
      <c r="I9" s="77"/>
      <c r="J9" s="77"/>
      <c r="K9" s="77"/>
      <c r="L9" s="77"/>
      <c r="M9" s="77"/>
      <c r="N9" s="77"/>
      <c r="O9" s="77"/>
    </row>
    <row r="10" spans="1:18">
      <c r="C10" s="75"/>
      <c r="D10" s="75"/>
      <c r="E10" s="75"/>
    </row>
    <row r="11" spans="1:18">
      <c r="B11" s="75"/>
      <c r="C11" s="75"/>
      <c r="D11" s="75"/>
      <c r="E11" s="75"/>
      <c r="F11" s="78" t="s">
        <v>8</v>
      </c>
      <c r="G11" s="79"/>
      <c r="H11" s="79"/>
      <c r="I11" s="79"/>
      <c r="J11" s="80"/>
      <c r="K11" s="78" t="s">
        <v>7</v>
      </c>
      <c r="L11" s="79"/>
      <c r="M11" s="79"/>
      <c r="N11" s="79"/>
      <c r="O11" s="80"/>
      <c r="P11" s="81"/>
      <c r="Q11" s="81"/>
      <c r="R11" s="82"/>
    </row>
    <row r="12" spans="1:18">
      <c r="B12" s="75"/>
      <c r="C12" s="75"/>
      <c r="D12" s="75"/>
      <c r="E12" s="75"/>
      <c r="F12" s="83">
        <v>2015</v>
      </c>
      <c r="G12" s="84">
        <f t="shared" ref="G12:R12" si="0">F12+1</f>
        <v>2016</v>
      </c>
      <c r="H12" s="84">
        <f t="shared" si="0"/>
        <v>2017</v>
      </c>
      <c r="I12" s="84">
        <f t="shared" si="0"/>
        <v>2018</v>
      </c>
      <c r="J12" s="85">
        <f t="shared" si="0"/>
        <v>2019</v>
      </c>
      <c r="K12" s="86">
        <f t="shared" si="0"/>
        <v>2020</v>
      </c>
      <c r="L12" s="86">
        <f t="shared" si="0"/>
        <v>2021</v>
      </c>
      <c r="M12" s="86">
        <f t="shared" si="0"/>
        <v>2022</v>
      </c>
      <c r="N12" s="86">
        <f t="shared" si="0"/>
        <v>2023</v>
      </c>
      <c r="O12" s="86">
        <f t="shared" si="0"/>
        <v>2024</v>
      </c>
      <c r="P12" s="86">
        <f t="shared" si="0"/>
        <v>2025</v>
      </c>
      <c r="Q12" s="86">
        <f t="shared" si="0"/>
        <v>2026</v>
      </c>
      <c r="R12" s="86">
        <f t="shared" si="0"/>
        <v>2027</v>
      </c>
    </row>
    <row r="13" spans="1:18">
      <c r="B13" s="67" t="s">
        <v>42</v>
      </c>
      <c r="F13" s="87">
        <f>INDEX(YETI_IS!$A$6:$F$45,MATCH(YETI_DCF!$B13,YETI_IS!$A$6:$A$45,0),MATCH(YETI_DCF!F$12,YETI_IS!$A$6:$F$6,0))</f>
        <v>468946</v>
      </c>
      <c r="G13" s="87">
        <f>INDEX(YETI_IS!$A$6:$F$45,MATCH(YETI_DCF!$B13,YETI_IS!$A$6:$A$45,0),MATCH(YETI_DCF!G$12,YETI_IS!$A$6:$F$6,0))</f>
        <v>818914</v>
      </c>
      <c r="H13" s="87">
        <f>INDEX(YETI_IS!$A$6:$F$45,MATCH(YETI_DCF!$B13,YETI_IS!$A$6:$A$45,0),MATCH(YETI_DCF!H$12,YETI_IS!$A$6:$F$6,0))</f>
        <v>639239</v>
      </c>
      <c r="I13" s="87">
        <f>INDEX(YETI_IS!$A$6:$F$45,MATCH(YETI_DCF!$B13,YETI_IS!$A$6:$A$45,0),MATCH(YETI_DCF!I$12,YETI_IS!$A$6:$F$6,0))</f>
        <v>778833</v>
      </c>
      <c r="J13" s="88">
        <f>INDEX(YETI_IS!$A$6:$F$45,MATCH(YETI_DCF!$B13,YETI_IS!$A$6:$A$45,0),MATCH(YETI_DCF!J$12,YETI_IS!$A$6:$F$6,0))</f>
        <v>913734</v>
      </c>
      <c r="K13" s="89">
        <f>J13*(1+K31)</f>
        <v>868047.29999999993</v>
      </c>
      <c r="L13" s="89">
        <f t="shared" ref="L13:R13" si="1">K13*(1+L31)</f>
        <v>1041656.7599999999</v>
      </c>
      <c r="M13" s="89">
        <f t="shared" si="1"/>
        <v>1232627.166</v>
      </c>
      <c r="N13" s="89">
        <f t="shared" si="1"/>
        <v>1438065.027</v>
      </c>
      <c r="O13" s="89">
        <f t="shared" si="1"/>
        <v>1653774.7810499999</v>
      </c>
      <c r="P13" s="89">
        <f t="shared" si="1"/>
        <v>1874278.0851899998</v>
      </c>
      <c r="Q13" s="89">
        <f t="shared" si="1"/>
        <v>2092943.8617954999</v>
      </c>
      <c r="R13" s="89">
        <f t="shared" si="1"/>
        <v>2302238.24797505</v>
      </c>
    </row>
    <row r="14" spans="1:18">
      <c r="B14" s="67" t="s">
        <v>41</v>
      </c>
      <c r="F14" s="90">
        <f>INDEX(YETI_IS!$A$6:$F$45,MATCH(YETI_DCF!$B14,YETI_IS!$A$6:$A$45,0),MATCH(YETI_DCF!F$12,YETI_IS!$A$6:$F$6,0))</f>
        <v>250245</v>
      </c>
      <c r="G14" s="90">
        <f>INDEX(YETI_IS!$A$6:$F$45,MATCH(YETI_DCF!$B14,YETI_IS!$A$6:$A$45,0),MATCH(YETI_DCF!G$12,YETI_IS!$A$6:$F$6,0))</f>
        <v>404953</v>
      </c>
      <c r="H14" s="90">
        <f>INDEX(YETI_IS!$A$6:$F$45,MATCH(YETI_DCF!$B14,YETI_IS!$A$6:$A$45,0),MATCH(YETI_DCF!H$12,YETI_IS!$A$6:$F$6,0))</f>
        <v>344638</v>
      </c>
      <c r="I14" s="90">
        <f>INDEX(YETI_IS!$A$6:$F$45,MATCH(YETI_DCF!$B14,YETI_IS!$A$6:$A$45,0),MATCH(YETI_DCF!I$12,YETI_IS!$A$6:$F$6,0))</f>
        <v>395705</v>
      </c>
      <c r="J14" s="91">
        <f>INDEX(YETI_IS!$A$6:$F$45,MATCH(YETI_DCF!$B14,YETI_IS!$A$6:$A$45,0),MATCH(YETI_DCF!J$12,YETI_IS!$A$6:$F$6,0))</f>
        <v>438420</v>
      </c>
      <c r="K14" s="92">
        <f>K13*K32</f>
        <v>434023.64999999997</v>
      </c>
      <c r="L14" s="92">
        <f t="shared" ref="L14:R14" si="2">L13*L32</f>
        <v>520828.37999999995</v>
      </c>
      <c r="M14" s="92">
        <f t="shared" si="2"/>
        <v>612204.82577999996</v>
      </c>
      <c r="N14" s="92">
        <f t="shared" si="2"/>
        <v>709445.41331999993</v>
      </c>
      <c r="O14" s="92">
        <f t="shared" si="2"/>
        <v>810349.64271449985</v>
      </c>
      <c r="P14" s="92">
        <f t="shared" si="2"/>
        <v>912148.66812579974</v>
      </c>
      <c r="Q14" s="92">
        <f t="shared" si="2"/>
        <v>1011589.533201158</v>
      </c>
      <c r="R14" s="92">
        <f t="shared" si="2"/>
        <v>1105074.3590280237</v>
      </c>
    </row>
    <row r="15" spans="1:18">
      <c r="B15" s="74" t="s">
        <v>40</v>
      </c>
      <c r="F15" s="92">
        <f>F13-F14</f>
        <v>218701</v>
      </c>
      <c r="G15" s="92">
        <f t="shared" ref="G15:R15" si="3">G13-G14</f>
        <v>413961</v>
      </c>
      <c r="H15" s="92">
        <f t="shared" si="3"/>
        <v>294601</v>
      </c>
      <c r="I15" s="92">
        <f t="shared" si="3"/>
        <v>383128</v>
      </c>
      <c r="J15" s="93">
        <f t="shared" si="3"/>
        <v>475314</v>
      </c>
      <c r="K15" s="92">
        <f t="shared" si="3"/>
        <v>434023.64999999997</v>
      </c>
      <c r="L15" s="92">
        <f t="shared" si="3"/>
        <v>520828.37999999995</v>
      </c>
      <c r="M15" s="92">
        <f t="shared" si="3"/>
        <v>620422.34022000001</v>
      </c>
      <c r="N15" s="92">
        <f t="shared" si="3"/>
        <v>728619.61368000007</v>
      </c>
      <c r="O15" s="92">
        <f t="shared" si="3"/>
        <v>843425.13833550003</v>
      </c>
      <c r="P15" s="92">
        <f t="shared" si="3"/>
        <v>962129.41706420004</v>
      </c>
      <c r="Q15" s="92">
        <f t="shared" si="3"/>
        <v>1081354.3285943419</v>
      </c>
      <c r="R15" s="92">
        <f t="shared" si="3"/>
        <v>1197163.8889470263</v>
      </c>
    </row>
    <row r="16" spans="1:18">
      <c r="B16" s="74"/>
      <c r="F16" s="94"/>
      <c r="G16" s="94"/>
      <c r="H16" s="94"/>
      <c r="I16" s="94"/>
      <c r="J16" s="95"/>
      <c r="K16" s="94"/>
      <c r="L16" s="94"/>
      <c r="M16" s="94"/>
      <c r="N16" s="94"/>
      <c r="O16" s="94"/>
      <c r="P16" s="94"/>
      <c r="Q16" s="94"/>
      <c r="R16" s="94"/>
    </row>
    <row r="17" spans="2:22">
      <c r="B17" s="67" t="s">
        <v>261</v>
      </c>
      <c r="F17" s="96">
        <f>INDEX(YETI_IS!$A$6:$F$45,MATCH(YETI_DCF!$B17,YETI_IS!$A$6:$A$45,0),MATCH(YETI_DCF!F$12,YETI_IS!$A$6:$F$6,0))</f>
        <v>90791</v>
      </c>
      <c r="G17" s="96">
        <f>INDEX(YETI_IS!$A$6:$F$45,MATCH(YETI_DCF!$B17,YETI_IS!$A$6:$A$45,0),MATCH(YETI_DCF!G$12,YETI_IS!$A$6:$F$6,0))</f>
        <v>325754</v>
      </c>
      <c r="H17" s="96">
        <f>INDEX(YETI_IS!$A$6:$F$45,MATCH(YETI_DCF!$B17,YETI_IS!$A$6:$A$45,0),MATCH(YETI_DCF!H$12,YETI_IS!$A$6:$F$6,0))</f>
        <v>230634</v>
      </c>
      <c r="I17" s="96">
        <f>INDEX(YETI_IS!$A$6:$F$45,MATCH(YETI_DCF!$B17,YETI_IS!$A$6:$A$45,0),MATCH(YETI_DCF!I$12,YETI_IS!$A$6:$F$6,0))</f>
        <v>280972</v>
      </c>
      <c r="J17" s="97">
        <f>INDEX(YETI_IS!$A$6:$F$45,MATCH(YETI_DCF!$B17,YETI_IS!$A$6:$A$45,0),MATCH(YETI_DCF!J$12,YETI_IS!$A$6:$F$6,0))</f>
        <v>385543</v>
      </c>
      <c r="K17" s="98">
        <f>K13*K33</f>
        <v>260414.18999999997</v>
      </c>
      <c r="L17" s="99">
        <f t="shared" ref="L17:R17" si="4">L13*L33</f>
        <v>416662.70399999997</v>
      </c>
      <c r="M17" s="99">
        <f t="shared" si="4"/>
        <v>488942.10917999997</v>
      </c>
      <c r="N17" s="99">
        <f t="shared" si="4"/>
        <v>565638.91061999998</v>
      </c>
      <c r="O17" s="99">
        <f t="shared" si="4"/>
        <v>644972.16460949986</v>
      </c>
      <c r="P17" s="99">
        <f t="shared" si="4"/>
        <v>724720.85960679979</v>
      </c>
      <c r="Q17" s="99">
        <f t="shared" si="4"/>
        <v>802295.14702160808</v>
      </c>
      <c r="R17" s="99">
        <f t="shared" si="4"/>
        <v>874850.53423051874</v>
      </c>
    </row>
    <row r="18" spans="2:22">
      <c r="B18" s="100" t="s">
        <v>39</v>
      </c>
      <c r="C18" s="100"/>
      <c r="D18" s="100"/>
      <c r="E18" s="100"/>
      <c r="F18" s="92">
        <f>F15-F17</f>
        <v>127910</v>
      </c>
      <c r="G18" s="92">
        <f t="shared" ref="G18:R18" si="5">G15-G17</f>
        <v>88207</v>
      </c>
      <c r="H18" s="92">
        <f t="shared" si="5"/>
        <v>63967</v>
      </c>
      <c r="I18" s="92">
        <f t="shared" si="5"/>
        <v>102156</v>
      </c>
      <c r="J18" s="101">
        <f t="shared" si="5"/>
        <v>89771</v>
      </c>
      <c r="K18" s="92">
        <f t="shared" si="5"/>
        <v>173609.46</v>
      </c>
      <c r="L18" s="92">
        <f t="shared" si="5"/>
        <v>104165.67599999998</v>
      </c>
      <c r="M18" s="92">
        <f t="shared" si="5"/>
        <v>131480.23104000004</v>
      </c>
      <c r="N18" s="92">
        <f t="shared" si="5"/>
        <v>162980.70306000009</v>
      </c>
      <c r="O18" s="92">
        <f t="shared" si="5"/>
        <v>198452.97372600017</v>
      </c>
      <c r="P18" s="92">
        <f t="shared" si="5"/>
        <v>237408.55745740025</v>
      </c>
      <c r="Q18" s="92">
        <f t="shared" si="5"/>
        <v>279059.1815727338</v>
      </c>
      <c r="R18" s="92">
        <f t="shared" si="5"/>
        <v>322313.3547165076</v>
      </c>
    </row>
    <row r="19" spans="2:22">
      <c r="B19" s="67" t="s">
        <v>38</v>
      </c>
      <c r="C19" s="102"/>
      <c r="D19" s="103">
        <v>0.25</v>
      </c>
      <c r="F19" s="99">
        <f>F18*$D$19</f>
        <v>31977.5</v>
      </c>
      <c r="G19" s="99">
        <f t="shared" ref="G19:R19" si="6">G18*$D$19</f>
        <v>22051.75</v>
      </c>
      <c r="H19" s="99">
        <f t="shared" si="6"/>
        <v>15991.75</v>
      </c>
      <c r="I19" s="99">
        <f t="shared" si="6"/>
        <v>25539</v>
      </c>
      <c r="J19" s="104">
        <f t="shared" si="6"/>
        <v>22442.75</v>
      </c>
      <c r="K19" s="98">
        <f t="shared" si="6"/>
        <v>43402.364999999998</v>
      </c>
      <c r="L19" s="99">
        <f t="shared" si="6"/>
        <v>26041.418999999994</v>
      </c>
      <c r="M19" s="99">
        <f t="shared" si="6"/>
        <v>32870.057760000011</v>
      </c>
      <c r="N19" s="99">
        <f t="shared" si="6"/>
        <v>40745.175765000022</v>
      </c>
      <c r="O19" s="99">
        <f t="shared" si="6"/>
        <v>49613.243431500043</v>
      </c>
      <c r="P19" s="99">
        <f t="shared" si="6"/>
        <v>59352.139364350063</v>
      </c>
      <c r="Q19" s="99">
        <f t="shared" si="6"/>
        <v>69764.795393183449</v>
      </c>
      <c r="R19" s="99">
        <f t="shared" si="6"/>
        <v>80578.3386791269</v>
      </c>
    </row>
    <row r="20" spans="2:22">
      <c r="B20" s="105" t="s">
        <v>37</v>
      </c>
      <c r="C20" s="105"/>
      <c r="D20" s="105"/>
      <c r="E20" s="105"/>
      <c r="F20" s="92">
        <f>F18-F19</f>
        <v>95932.5</v>
      </c>
      <c r="G20" s="92">
        <f t="shared" ref="G20:R20" si="7">G18-G19</f>
        <v>66155.25</v>
      </c>
      <c r="H20" s="92">
        <f t="shared" si="7"/>
        <v>47975.25</v>
      </c>
      <c r="I20" s="92">
        <f t="shared" si="7"/>
        <v>76617</v>
      </c>
      <c r="J20" s="93">
        <f t="shared" si="7"/>
        <v>67328.25</v>
      </c>
      <c r="K20" s="92">
        <f t="shared" si="7"/>
        <v>130207.095</v>
      </c>
      <c r="L20" s="92">
        <f t="shared" si="7"/>
        <v>78124.256999999983</v>
      </c>
      <c r="M20" s="92">
        <f t="shared" si="7"/>
        <v>98610.173280000032</v>
      </c>
      <c r="N20" s="92">
        <f t="shared" si="7"/>
        <v>122235.52729500007</v>
      </c>
      <c r="O20" s="92">
        <f t="shared" si="7"/>
        <v>148839.73029450013</v>
      </c>
      <c r="P20" s="92">
        <f t="shared" si="7"/>
        <v>178056.41809305019</v>
      </c>
      <c r="Q20" s="92">
        <f t="shared" si="7"/>
        <v>209294.38617955035</v>
      </c>
      <c r="R20" s="92">
        <f t="shared" si="7"/>
        <v>241735.0160373807</v>
      </c>
    </row>
    <row r="21" spans="2:22">
      <c r="F21" s="94"/>
      <c r="G21" s="94"/>
      <c r="H21" s="94"/>
      <c r="I21" s="94"/>
      <c r="J21" s="95"/>
      <c r="K21" s="92"/>
      <c r="L21" s="92"/>
      <c r="M21" s="92"/>
      <c r="N21" s="92"/>
      <c r="O21" s="92"/>
      <c r="P21" s="92"/>
      <c r="Q21" s="92"/>
      <c r="R21" s="92"/>
    </row>
    <row r="22" spans="2:22">
      <c r="B22" s="67" t="s">
        <v>36</v>
      </c>
      <c r="F22" s="90">
        <f>INDEX(YETI_IS!$A$6:$F$45,MATCH(YETI_DCF!$B22,YETI_IS!$A$6:$A$45,0),MATCH(YETI_DCF!F$12,YETI_IS!$A$6:$F$6,0))</f>
        <v>7531</v>
      </c>
      <c r="G22" s="90">
        <f>INDEX(YETI_IS!$A$6:$F$45,MATCH(YETI_DCF!$B22,YETI_IS!$A$6:$A$45,0),MATCH(YETI_DCF!G$12,YETI_IS!$A$6:$F$6,0))</f>
        <v>11670</v>
      </c>
      <c r="H22" s="90">
        <f>INDEX(YETI_IS!$A$6:$F$45,MATCH(YETI_DCF!$B22,YETI_IS!$A$6:$A$45,0),MATCH(YETI_DCF!H$12,YETI_IS!$A$6:$F$6,0))</f>
        <v>20769</v>
      </c>
      <c r="I22" s="90">
        <f>INDEX(YETI_IS!$A$6:$F$45,MATCH(YETI_DCF!$B22,YETI_IS!$A$6:$A$45,0),MATCH(YETI_DCF!I$12,YETI_IS!$A$6:$F$6,0))</f>
        <v>24777</v>
      </c>
      <c r="J22" s="91">
        <f>INDEX(YETI_IS!$A$6:$F$45,MATCH(YETI_DCF!$B22,YETI_IS!$A$6:$A$45,0),MATCH(YETI_DCF!J$12,YETI_IS!$A$6:$F$6,0))</f>
        <v>28959</v>
      </c>
      <c r="K22" s="92">
        <f>-K23*K35</f>
        <v>15624.851399999998</v>
      </c>
      <c r="L22" s="92">
        <f t="shared" ref="L22:R22" si="8">-L23*L35</f>
        <v>43749.583919999997</v>
      </c>
      <c r="M22" s="92">
        <f t="shared" si="8"/>
        <v>55468.222469999993</v>
      </c>
      <c r="N22" s="92">
        <f t="shared" si="8"/>
        <v>68547.766286999991</v>
      </c>
      <c r="O22" s="92">
        <f t="shared" si="8"/>
        <v>82688.739052499994</v>
      </c>
      <c r="P22" s="92">
        <f t="shared" si="8"/>
        <v>97462.460429879982</v>
      </c>
      <c r="Q22" s="92">
        <f t="shared" si="8"/>
        <v>112321.32058302514</v>
      </c>
      <c r="R22" s="92">
        <f t="shared" si="8"/>
        <v>126623.10363862773</v>
      </c>
    </row>
    <row r="23" spans="2:22">
      <c r="B23" s="67" t="s">
        <v>35</v>
      </c>
      <c r="F23" s="90">
        <f>INDEX(YETI_IS!$A$6:$F$45,MATCH(YETI_DCF!$B23,YETI_IS!$A$6:$A$45,0),MATCH(YETI_DCF!F$12,YETI_IS!$A$6:$F$6,0))</f>
        <v>-10902</v>
      </c>
      <c r="G23" s="90">
        <f>INDEX(YETI_IS!$A$6:$F$45,MATCH(YETI_DCF!$B23,YETI_IS!$A$6:$A$45,0),MATCH(YETI_DCF!G$12,YETI_IS!$A$6:$F$6,0))</f>
        <v>-60296</v>
      </c>
      <c r="H23" s="90">
        <f>INDEX(YETI_IS!$A$6:$F$45,MATCH(YETI_DCF!$B23,YETI_IS!$A$6:$A$45,0),MATCH(YETI_DCF!H$12,YETI_IS!$A$6:$F$6,0))</f>
        <v>-37271</v>
      </c>
      <c r="I23" s="90">
        <f>INDEX(YETI_IS!$A$6:$F$45,MATCH(YETI_DCF!$B23,YETI_IS!$A$6:$A$45,0),MATCH(YETI_DCF!I$12,YETI_IS!$A$6:$F$6,0))</f>
        <v>-31887</v>
      </c>
      <c r="J23" s="91">
        <f>INDEX(YETI_IS!$A$6:$F$45,MATCH(YETI_DCF!$B23,YETI_IS!$A$6:$A$45,0),MATCH(YETI_DCF!J$12,YETI_IS!$A$6:$F$6,0))</f>
        <v>-48691</v>
      </c>
      <c r="K23" s="92">
        <f>-(K34*K13)</f>
        <v>-26041.418999999998</v>
      </c>
      <c r="L23" s="92">
        <f t="shared" ref="L23:R23" si="9">-(L34*L13)</f>
        <v>-72915.973199999993</v>
      </c>
      <c r="M23" s="92">
        <f t="shared" si="9"/>
        <v>-83202.333704999997</v>
      </c>
      <c r="N23" s="92">
        <f t="shared" si="9"/>
        <v>-93474.226754999996</v>
      </c>
      <c r="O23" s="92">
        <f t="shared" si="9"/>
        <v>-103360.92381562499</v>
      </c>
      <c r="P23" s="92">
        <f t="shared" si="9"/>
        <v>-112456.68511139999</v>
      </c>
      <c r="Q23" s="92">
        <f t="shared" si="9"/>
        <v>-120344.27205324123</v>
      </c>
      <c r="R23" s="92">
        <f t="shared" si="9"/>
        <v>-126623.10363862774</v>
      </c>
    </row>
    <row r="24" spans="2:22">
      <c r="B24" s="67" t="s">
        <v>34</v>
      </c>
      <c r="F24" s="99">
        <f>-F72</f>
        <v>0</v>
      </c>
      <c r="G24" s="99">
        <f t="shared" ref="G24:R24" si="10">-G72</f>
        <v>0</v>
      </c>
      <c r="H24" s="99">
        <f t="shared" si="10"/>
        <v>72868</v>
      </c>
      <c r="I24" s="99">
        <f t="shared" si="10"/>
        <v>71274</v>
      </c>
      <c r="J24" s="99">
        <f t="shared" si="10"/>
        <v>-67411</v>
      </c>
      <c r="K24" s="99">
        <f t="shared" si="10"/>
        <v>-76338.824999999983</v>
      </c>
      <c r="L24" s="99">
        <f t="shared" si="10"/>
        <v>60763.311000000016</v>
      </c>
      <c r="M24" s="99">
        <f t="shared" si="10"/>
        <v>-28645.560900000011</v>
      </c>
      <c r="N24" s="99">
        <f t="shared" si="10"/>
        <v>-30815.679150000011</v>
      </c>
      <c r="O24" s="99">
        <f t="shared" si="10"/>
        <v>-32356.463107499992</v>
      </c>
      <c r="P24" s="99">
        <f t="shared" si="10"/>
        <v>-33075.495620999951</v>
      </c>
      <c r="Q24" s="99">
        <f t="shared" si="10"/>
        <v>-32799.866490825021</v>
      </c>
      <c r="R24" s="99">
        <f t="shared" si="10"/>
        <v>-31394.157926932559</v>
      </c>
    </row>
    <row r="25" spans="2:22">
      <c r="B25" s="74" t="s">
        <v>33</v>
      </c>
      <c r="C25" s="74"/>
      <c r="D25" s="74"/>
      <c r="E25" s="74"/>
      <c r="F25" s="106">
        <f>SUM(F20:F24)</f>
        <v>92561.5</v>
      </c>
      <c r="G25" s="106">
        <f t="shared" ref="G25:R25" si="11">SUM(G20:G24)</f>
        <v>17529.25</v>
      </c>
      <c r="H25" s="106">
        <f t="shared" si="11"/>
        <v>104341.25</v>
      </c>
      <c r="I25" s="106">
        <f t="shared" si="11"/>
        <v>140781</v>
      </c>
      <c r="J25" s="107">
        <f t="shared" si="11"/>
        <v>-19814.75</v>
      </c>
      <c r="K25" s="106">
        <f t="shared" si="11"/>
        <v>43451.702400000009</v>
      </c>
      <c r="L25" s="106">
        <f t="shared" si="11"/>
        <v>109721.17872000001</v>
      </c>
      <c r="M25" s="106">
        <f t="shared" si="11"/>
        <v>42230.501145000017</v>
      </c>
      <c r="N25" s="106">
        <f t="shared" si="11"/>
        <v>66493.387677000064</v>
      </c>
      <c r="O25" s="106">
        <f t="shared" si="11"/>
        <v>95811.082423875137</v>
      </c>
      <c r="P25" s="106">
        <f t="shared" si="11"/>
        <v>129986.69779053028</v>
      </c>
      <c r="Q25" s="106">
        <f t="shared" si="11"/>
        <v>168471.56821850923</v>
      </c>
      <c r="R25" s="106">
        <f t="shared" si="11"/>
        <v>210340.85811044811</v>
      </c>
    </row>
    <row r="26" spans="2:22">
      <c r="C26" s="74"/>
      <c r="D26" s="74"/>
      <c r="E26" s="74"/>
      <c r="F26" s="94"/>
      <c r="G26" s="94"/>
      <c r="H26" s="94"/>
      <c r="I26" s="94"/>
      <c r="J26" s="94"/>
      <c r="K26" s="94"/>
      <c r="L26" s="94"/>
      <c r="M26" s="94"/>
      <c r="N26" s="94"/>
      <c r="O26" s="94"/>
    </row>
    <row r="27" spans="2:22">
      <c r="F27" s="108"/>
    </row>
    <row r="28" spans="2:22">
      <c r="F28" s="78" t="s">
        <v>8</v>
      </c>
      <c r="G28" s="79"/>
      <c r="H28" s="79"/>
      <c r="I28" s="79"/>
      <c r="J28" s="80"/>
      <c r="K28" s="78" t="s">
        <v>7</v>
      </c>
      <c r="L28" s="79"/>
      <c r="M28" s="79"/>
      <c r="N28" s="79"/>
      <c r="O28" s="80"/>
      <c r="P28" s="81"/>
      <c r="Q28" s="81"/>
      <c r="R28" s="82"/>
    </row>
    <row r="29" spans="2:22">
      <c r="F29" s="109">
        <f>F12</f>
        <v>2015</v>
      </c>
      <c r="G29" s="110">
        <f t="shared" ref="G29:R29" si="12">F29+1</f>
        <v>2016</v>
      </c>
      <c r="H29" s="110">
        <f t="shared" si="12"/>
        <v>2017</v>
      </c>
      <c r="I29" s="110">
        <f t="shared" si="12"/>
        <v>2018</v>
      </c>
      <c r="J29" s="111">
        <f t="shared" si="12"/>
        <v>2019</v>
      </c>
      <c r="K29" s="110">
        <f t="shared" si="12"/>
        <v>2020</v>
      </c>
      <c r="L29" s="110">
        <f t="shared" si="12"/>
        <v>2021</v>
      </c>
      <c r="M29" s="110">
        <f t="shared" si="12"/>
        <v>2022</v>
      </c>
      <c r="N29" s="110">
        <f t="shared" si="12"/>
        <v>2023</v>
      </c>
      <c r="O29" s="110">
        <f t="shared" si="12"/>
        <v>2024</v>
      </c>
      <c r="P29" s="110">
        <f t="shared" si="12"/>
        <v>2025</v>
      </c>
      <c r="Q29" s="110">
        <f t="shared" si="12"/>
        <v>2026</v>
      </c>
      <c r="R29" s="110">
        <f t="shared" si="12"/>
        <v>2027</v>
      </c>
    </row>
    <row r="30" spans="2:22">
      <c r="B30" s="74" t="s">
        <v>32</v>
      </c>
      <c r="C30" s="74"/>
      <c r="E30" s="74"/>
      <c r="F30" s="94"/>
      <c r="G30" s="94"/>
      <c r="H30" s="94"/>
      <c r="I30" s="94"/>
      <c r="J30" s="95"/>
      <c r="K30" s="94"/>
      <c r="L30" s="94"/>
      <c r="M30" s="94"/>
      <c r="N30" s="94"/>
      <c r="O30" s="94"/>
      <c r="R30" s="94"/>
      <c r="S30" s="94"/>
      <c r="T30" s="94"/>
    </row>
    <row r="31" spans="2:22">
      <c r="B31" s="67" t="s">
        <v>2</v>
      </c>
      <c r="F31" s="112"/>
      <c r="G31" s="112">
        <f>G13/F13-1</f>
        <v>0.74628635279968258</v>
      </c>
      <c r="H31" s="112">
        <f t="shared" ref="H31:J31" si="13">H13/G13-1</f>
        <v>-0.21940643339837884</v>
      </c>
      <c r="I31" s="112">
        <f t="shared" si="13"/>
        <v>0.21837528686453744</v>
      </c>
      <c r="J31" s="113">
        <f t="shared" si="13"/>
        <v>0.17320914753226946</v>
      </c>
      <c r="K31" s="103">
        <v>-0.05</v>
      </c>
      <c r="L31" s="103">
        <v>0.2</v>
      </c>
      <c r="M31" s="112">
        <f>L31+$U31</f>
        <v>0.18333333333333335</v>
      </c>
      <c r="N31" s="112">
        <f t="shared" ref="N31:R31" si="14">M31+$U31</f>
        <v>0.16666666666666669</v>
      </c>
      <c r="O31" s="112">
        <f t="shared" si="14"/>
        <v>0.15000000000000002</v>
      </c>
      <c r="P31" s="112">
        <f t="shared" si="14"/>
        <v>0.13333333333333336</v>
      </c>
      <c r="Q31" s="112">
        <f t="shared" si="14"/>
        <v>0.1166666666666667</v>
      </c>
      <c r="R31" s="112">
        <f t="shared" si="14"/>
        <v>0.10000000000000003</v>
      </c>
      <c r="S31" s="94"/>
      <c r="T31" s="114" t="s">
        <v>3</v>
      </c>
      <c r="U31" s="112">
        <f>(V31-L31)/($R$29-$L$29)</f>
        <v>-1.6666666666666666E-2</v>
      </c>
      <c r="V31" s="103">
        <v>0.1</v>
      </c>
    </row>
    <row r="32" spans="2:22">
      <c r="B32" s="67" t="s">
        <v>1</v>
      </c>
      <c r="F32" s="112">
        <f>F14/F13</f>
        <v>0.5336328703091614</v>
      </c>
      <c r="G32" s="112">
        <f t="shared" ref="G32:J32" si="15">G14/G13</f>
        <v>0.49450003297049505</v>
      </c>
      <c r="H32" s="112">
        <f t="shared" si="15"/>
        <v>0.53913794371119406</v>
      </c>
      <c r="I32" s="112">
        <f t="shared" si="15"/>
        <v>0.50807425982206711</v>
      </c>
      <c r="J32" s="113">
        <f t="shared" si="15"/>
        <v>0.47981141119844506</v>
      </c>
      <c r="K32" s="103">
        <v>0.5</v>
      </c>
      <c r="L32" s="103">
        <v>0.5</v>
      </c>
      <c r="M32" s="112">
        <f t="shared" ref="M32:R35" si="16">L32+$U32</f>
        <v>0.49666666666666665</v>
      </c>
      <c r="N32" s="112">
        <f t="shared" si="16"/>
        <v>0.49333333333333329</v>
      </c>
      <c r="O32" s="112">
        <f t="shared" si="16"/>
        <v>0.48999999999999994</v>
      </c>
      <c r="P32" s="112">
        <f t="shared" si="16"/>
        <v>0.48666666666666658</v>
      </c>
      <c r="Q32" s="112">
        <f t="shared" si="16"/>
        <v>0.48333333333333323</v>
      </c>
      <c r="R32" s="112">
        <f t="shared" si="16"/>
        <v>0.47999999999999987</v>
      </c>
      <c r="S32" s="94"/>
      <c r="T32" s="114" t="s">
        <v>3</v>
      </c>
      <c r="U32" s="112">
        <f t="shared" ref="U32:U35" si="17">(V32-L32)/($R$29-$L$29)</f>
        <v>-3.3333333333333361E-3</v>
      </c>
      <c r="V32" s="103">
        <v>0.48</v>
      </c>
    </row>
    <row r="33" spans="1:22">
      <c r="B33" s="67" t="s">
        <v>0</v>
      </c>
      <c r="F33" s="112">
        <f>F17/F13</f>
        <v>0.19360651332989298</v>
      </c>
      <c r="G33" s="112">
        <f t="shared" ref="G33:J33" si="18">G17/G13</f>
        <v>0.39778780189372753</v>
      </c>
      <c r="H33" s="112">
        <f t="shared" si="18"/>
        <v>0.36079463236754955</v>
      </c>
      <c r="I33" s="112">
        <f t="shared" si="18"/>
        <v>0.36076026567954877</v>
      </c>
      <c r="J33" s="113">
        <f t="shared" si="18"/>
        <v>0.42194227203978402</v>
      </c>
      <c r="K33" s="103">
        <v>0.3</v>
      </c>
      <c r="L33" s="103">
        <v>0.4</v>
      </c>
      <c r="M33" s="112">
        <f t="shared" si="16"/>
        <v>0.39666666666666667</v>
      </c>
      <c r="N33" s="112">
        <f t="shared" si="16"/>
        <v>0.39333333333333331</v>
      </c>
      <c r="O33" s="112">
        <f t="shared" si="16"/>
        <v>0.38999999999999996</v>
      </c>
      <c r="P33" s="112">
        <f t="shared" si="16"/>
        <v>0.3866666666666666</v>
      </c>
      <c r="Q33" s="112">
        <f t="shared" si="16"/>
        <v>0.38333333333333325</v>
      </c>
      <c r="R33" s="112">
        <f t="shared" si="16"/>
        <v>0.37999999999999989</v>
      </c>
      <c r="S33" s="94"/>
      <c r="T33" s="114" t="s">
        <v>3</v>
      </c>
      <c r="U33" s="112">
        <f t="shared" si="17"/>
        <v>-3.3333333333333361E-3</v>
      </c>
      <c r="V33" s="103">
        <v>0.38</v>
      </c>
    </row>
    <row r="34" spans="1:22">
      <c r="B34" s="67" t="s">
        <v>31</v>
      </c>
      <c r="F34" s="112">
        <f>-F23/F13</f>
        <v>2.3247879286740904E-2</v>
      </c>
      <c r="G34" s="112">
        <f t="shared" ref="G34:J34" si="19">-G23/G13</f>
        <v>7.3629221139216078E-2</v>
      </c>
      <c r="H34" s="112">
        <f t="shared" si="19"/>
        <v>5.8305266105478544E-2</v>
      </c>
      <c r="I34" s="112">
        <f t="shared" si="19"/>
        <v>4.0942024798641043E-2</v>
      </c>
      <c r="J34" s="113">
        <f t="shared" si="19"/>
        <v>5.3287937189597845E-2</v>
      </c>
      <c r="K34" s="103">
        <v>0.03</v>
      </c>
      <c r="L34" s="103">
        <v>7.0000000000000007E-2</v>
      </c>
      <c r="M34" s="112">
        <f t="shared" si="16"/>
        <v>6.7500000000000004E-2</v>
      </c>
      <c r="N34" s="112">
        <f t="shared" si="16"/>
        <v>6.5000000000000002E-2</v>
      </c>
      <c r="O34" s="112">
        <f t="shared" si="16"/>
        <v>6.25E-2</v>
      </c>
      <c r="P34" s="112">
        <f t="shared" si="16"/>
        <v>0.06</v>
      </c>
      <c r="Q34" s="112">
        <f t="shared" si="16"/>
        <v>5.7499999999999996E-2</v>
      </c>
      <c r="R34" s="112">
        <f t="shared" si="16"/>
        <v>5.4999999999999993E-2</v>
      </c>
      <c r="S34" s="94"/>
      <c r="T34" s="114" t="s">
        <v>3</v>
      </c>
      <c r="U34" s="112">
        <f t="shared" si="17"/>
        <v>-2.5000000000000009E-3</v>
      </c>
      <c r="V34" s="103">
        <v>5.5E-2</v>
      </c>
    </row>
    <row r="35" spans="1:22">
      <c r="B35" s="67" t="s">
        <v>30</v>
      </c>
      <c r="F35" s="112">
        <f>-F22/F23</f>
        <v>0.69079068060906257</v>
      </c>
      <c r="G35" s="112">
        <f t="shared" ref="G35:J35" si="20">-G22/G23</f>
        <v>0.19354517712617753</v>
      </c>
      <c r="H35" s="112">
        <f t="shared" si="20"/>
        <v>0.55724289662203863</v>
      </c>
      <c r="I35" s="112">
        <f t="shared" si="20"/>
        <v>0.77702511995484058</v>
      </c>
      <c r="J35" s="113">
        <f t="shared" si="20"/>
        <v>0.59475056992051922</v>
      </c>
      <c r="K35" s="103">
        <v>0.6</v>
      </c>
      <c r="L35" s="103">
        <v>0.6</v>
      </c>
      <c r="M35" s="112">
        <f t="shared" si="16"/>
        <v>0.66666666666666663</v>
      </c>
      <c r="N35" s="112">
        <f t="shared" si="16"/>
        <v>0.73333333333333328</v>
      </c>
      <c r="O35" s="112">
        <f t="shared" si="16"/>
        <v>0.79999999999999993</v>
      </c>
      <c r="P35" s="112">
        <f t="shared" si="16"/>
        <v>0.86666666666666659</v>
      </c>
      <c r="Q35" s="112">
        <f t="shared" si="16"/>
        <v>0.93333333333333324</v>
      </c>
      <c r="R35" s="112">
        <f t="shared" si="16"/>
        <v>0.99999999999999989</v>
      </c>
      <c r="S35" s="94"/>
      <c r="T35" s="114" t="s">
        <v>3</v>
      </c>
      <c r="U35" s="112">
        <f t="shared" si="17"/>
        <v>6.6666666666666666E-2</v>
      </c>
      <c r="V35" s="103">
        <v>1</v>
      </c>
    </row>
    <row r="36" spans="1:22">
      <c r="B36" s="67" t="s">
        <v>29</v>
      </c>
      <c r="F36" s="112">
        <f>F15/F13</f>
        <v>0.4663671296908386</v>
      </c>
      <c r="G36" s="112">
        <f t="shared" ref="G36:R36" si="21">G15/G13</f>
        <v>0.50549996702950495</v>
      </c>
      <c r="H36" s="112">
        <f t="shared" si="21"/>
        <v>0.46086205628880589</v>
      </c>
      <c r="I36" s="112">
        <f t="shared" si="21"/>
        <v>0.49192574017793289</v>
      </c>
      <c r="J36" s="113">
        <f t="shared" si="21"/>
        <v>0.52018858880155494</v>
      </c>
      <c r="K36" s="112">
        <f t="shared" si="21"/>
        <v>0.5</v>
      </c>
      <c r="L36" s="112">
        <f t="shared" si="21"/>
        <v>0.5</v>
      </c>
      <c r="M36" s="112">
        <f t="shared" si="21"/>
        <v>0.50333333333333341</v>
      </c>
      <c r="N36" s="112">
        <f t="shared" si="21"/>
        <v>0.50666666666666671</v>
      </c>
      <c r="O36" s="112">
        <f t="shared" si="21"/>
        <v>0.51</v>
      </c>
      <c r="P36" s="112">
        <f t="shared" si="21"/>
        <v>0.51333333333333342</v>
      </c>
      <c r="Q36" s="112">
        <f t="shared" si="21"/>
        <v>0.51666666666666683</v>
      </c>
      <c r="R36" s="112">
        <f t="shared" si="21"/>
        <v>0.52000000000000013</v>
      </c>
      <c r="S36" s="94"/>
      <c r="T36" s="94"/>
    </row>
    <row r="37" spans="1:22">
      <c r="F37" s="94"/>
      <c r="G37" s="94"/>
      <c r="H37" s="94"/>
      <c r="I37" s="94"/>
      <c r="J37" s="94"/>
      <c r="K37" s="94"/>
      <c r="L37" s="94"/>
      <c r="M37" s="94"/>
      <c r="N37" s="94"/>
      <c r="O37" s="94"/>
    </row>
    <row r="38" spans="1:22">
      <c r="A38" s="67" t="s">
        <v>92</v>
      </c>
      <c r="B38" s="76" t="s">
        <v>28</v>
      </c>
      <c r="C38" s="77"/>
      <c r="D38" s="76"/>
      <c r="E38" s="76"/>
      <c r="F38" s="77"/>
      <c r="G38" s="77"/>
      <c r="H38" s="77"/>
      <c r="I38" s="77"/>
      <c r="J38" s="77"/>
      <c r="K38" s="77"/>
      <c r="L38" s="77"/>
      <c r="M38" s="77"/>
      <c r="N38" s="77"/>
      <c r="O38" s="77"/>
    </row>
    <row r="40" spans="1:22">
      <c r="F40" s="115" t="s">
        <v>5</v>
      </c>
      <c r="G40" s="105"/>
      <c r="H40" s="116"/>
      <c r="I40" s="94"/>
      <c r="K40" s="115" t="s">
        <v>27</v>
      </c>
      <c r="L40" s="105"/>
      <c r="M40" s="105"/>
      <c r="N40" s="116"/>
      <c r="P40" s="115" t="s">
        <v>122</v>
      </c>
      <c r="Q40" s="105"/>
      <c r="R40" s="105"/>
      <c r="S40" s="116"/>
    </row>
    <row r="41" spans="1:22">
      <c r="F41" s="70"/>
      <c r="H41" s="117"/>
      <c r="I41" s="94"/>
      <c r="K41" s="70"/>
      <c r="N41" s="118"/>
      <c r="P41" s="70"/>
      <c r="S41" s="117"/>
    </row>
    <row r="42" spans="1:22">
      <c r="F42" s="70" t="s">
        <v>26</v>
      </c>
      <c r="H42" s="119">
        <f>R25</f>
        <v>210340.85811044811</v>
      </c>
      <c r="I42" s="94"/>
      <c r="K42" s="70" t="s">
        <v>25</v>
      </c>
      <c r="N42" s="93">
        <f>R18+R22</f>
        <v>448936.45835513534</v>
      </c>
      <c r="P42" s="70" t="s">
        <v>123</v>
      </c>
      <c r="S42" s="120">
        <f>H51</f>
        <v>3210142.902236633</v>
      </c>
    </row>
    <row r="43" spans="1:22">
      <c r="F43" s="70" t="s">
        <v>4</v>
      </c>
      <c r="H43" s="121">
        <v>8.6999999999999994E-3</v>
      </c>
      <c r="I43" s="94"/>
      <c r="K43" s="70" t="s">
        <v>24</v>
      </c>
      <c r="N43" s="122">
        <v>10</v>
      </c>
      <c r="P43" s="70" t="s">
        <v>124</v>
      </c>
      <c r="S43" s="123">
        <f>(I84+I91)/1000</f>
        <v>87105.442999999999</v>
      </c>
    </row>
    <row r="44" spans="1:22">
      <c r="F44" s="70" t="s">
        <v>23</v>
      </c>
      <c r="H44" s="119">
        <f>(H42*(1+H43))/(H45-H43)</f>
        <v>4416439.5524013555</v>
      </c>
      <c r="I44" s="94"/>
      <c r="K44" s="70" t="s">
        <v>23</v>
      </c>
      <c r="N44" s="119">
        <f>N42*N43</f>
        <v>4489364.5835513538</v>
      </c>
      <c r="O44" s="124"/>
      <c r="P44" s="70" t="s">
        <v>125</v>
      </c>
      <c r="S44" s="125">
        <f ca="1">Option_Value!E30</f>
        <v>37577.597748054439</v>
      </c>
    </row>
    <row r="45" spans="1:22">
      <c r="F45" s="70" t="s">
        <v>64</v>
      </c>
      <c r="H45" s="126">
        <f>F119</f>
        <v>5.6741147412658489E-2</v>
      </c>
      <c r="I45" s="94"/>
      <c r="K45" s="70" t="s">
        <v>64</v>
      </c>
      <c r="N45" s="127">
        <f>F119</f>
        <v>5.6741147412658489E-2</v>
      </c>
      <c r="O45" s="124"/>
      <c r="P45" s="72" t="s">
        <v>16</v>
      </c>
      <c r="Q45" s="128"/>
      <c r="R45" s="128"/>
      <c r="S45" s="129">
        <f ca="1">(S42-S44)/S43</f>
        <v>36.422124671228389</v>
      </c>
    </row>
    <row r="46" spans="1:22">
      <c r="F46" s="70" t="s">
        <v>22</v>
      </c>
      <c r="H46" s="119">
        <f>H44/(1+H45)^($R$29-$J$29)</f>
        <v>2840032.7232127879</v>
      </c>
      <c r="I46" s="94"/>
      <c r="K46" s="70" t="s">
        <v>22</v>
      </c>
      <c r="N46" s="119">
        <f>N44/(1+N45)^($R$29-$J$29)</f>
        <v>2886927.8459355012</v>
      </c>
    </row>
    <row r="47" spans="1:22">
      <c r="F47" s="70"/>
      <c r="H47" s="117"/>
      <c r="I47" s="94"/>
      <c r="K47" s="70"/>
      <c r="N47" s="95"/>
      <c r="P47" s="115" t="s">
        <v>126</v>
      </c>
      <c r="Q47" s="105"/>
      <c r="R47" s="105"/>
      <c r="S47" s="116"/>
    </row>
    <row r="48" spans="1:22">
      <c r="F48" s="70" t="s">
        <v>21</v>
      </c>
      <c r="H48" s="119">
        <f>NPV(H45,$K$25:$R$25)</f>
        <v>644278.17902384489</v>
      </c>
      <c r="I48" s="94"/>
      <c r="K48" s="70" t="s">
        <v>21</v>
      </c>
      <c r="N48" s="119">
        <f>NPV(N45,$K$25:$R$25)</f>
        <v>644278.17902384489</v>
      </c>
      <c r="P48" s="70" t="s">
        <v>18</v>
      </c>
      <c r="S48" s="120">
        <f>H51</f>
        <v>3210142.902236633</v>
      </c>
    </row>
    <row r="49" spans="1:19">
      <c r="F49" s="70" t="s">
        <v>20</v>
      </c>
      <c r="H49" s="119">
        <f>H48+H46</f>
        <v>3484310.902236633</v>
      </c>
      <c r="I49" s="94"/>
      <c r="K49" s="70" t="s">
        <v>20</v>
      </c>
      <c r="N49" s="119">
        <f>N48+N46</f>
        <v>3531206.0249593463</v>
      </c>
      <c r="P49" s="70" t="s">
        <v>17</v>
      </c>
      <c r="S49" s="123">
        <f>N92/1000</f>
        <v>88723.442999999999</v>
      </c>
    </row>
    <row r="50" spans="1:19">
      <c r="F50" s="70" t="s">
        <v>19</v>
      </c>
      <c r="H50" s="119">
        <f>YETI_BS!B60+YETI_BS!B59+YETI_BS!B55+YETI_BS!B45-YETI_BS!B12</f>
        <v>274168</v>
      </c>
      <c r="I50" s="94"/>
      <c r="K50" s="70" t="s">
        <v>19</v>
      </c>
      <c r="N50" s="119">
        <f>YETI_BS!B60+YETI_BS!B59+YETI_BS!B55+YETI_BS!B45-YETI_BS!B12</f>
        <v>274168</v>
      </c>
      <c r="P50" s="70" t="s">
        <v>129</v>
      </c>
      <c r="S50" s="130">
        <f>N89/1000</f>
        <v>26599.920000000006</v>
      </c>
    </row>
    <row r="51" spans="1:19">
      <c r="F51" s="70" t="s">
        <v>18</v>
      </c>
      <c r="H51" s="119">
        <f>H49-H50</f>
        <v>3210142.902236633</v>
      </c>
      <c r="I51" s="94"/>
      <c r="K51" s="70" t="s">
        <v>18</v>
      </c>
      <c r="N51" s="119">
        <f>N49-N50</f>
        <v>3257038.0249593463</v>
      </c>
      <c r="P51" s="72" t="s">
        <v>16</v>
      </c>
      <c r="Q51" s="128"/>
      <c r="R51" s="128"/>
      <c r="S51" s="131">
        <f>(S48+S50)/S49</f>
        <v>36.481258084592511</v>
      </c>
    </row>
    <row r="52" spans="1:19">
      <c r="F52" s="70" t="s">
        <v>17</v>
      </c>
      <c r="H52" s="132">
        <f>I92/1000</f>
        <v>87476.376895921232</v>
      </c>
      <c r="I52" s="94"/>
      <c r="K52" s="70" t="s">
        <v>17</v>
      </c>
      <c r="N52" s="123">
        <f>I92/1000</f>
        <v>87476.376895921232</v>
      </c>
    </row>
    <row r="53" spans="1:19">
      <c r="F53" s="72" t="s">
        <v>16</v>
      </c>
      <c r="G53" s="128"/>
      <c r="H53" s="133">
        <f>H51/H52</f>
        <v>36.697254917816707</v>
      </c>
      <c r="I53" s="94"/>
      <c r="K53" s="72" t="s">
        <v>16</v>
      </c>
      <c r="L53" s="128"/>
      <c r="M53" s="128"/>
      <c r="N53" s="131">
        <f>N51/N52</f>
        <v>37.233343909916925</v>
      </c>
    </row>
    <row r="55" spans="1:19">
      <c r="E55" s="134"/>
    </row>
    <row r="56" spans="1:19">
      <c r="G56" s="135"/>
    </row>
    <row r="57" spans="1:19">
      <c r="A57" s="67" t="s">
        <v>92</v>
      </c>
      <c r="B57" s="76" t="s">
        <v>15</v>
      </c>
      <c r="C57" s="77"/>
      <c r="D57" s="76"/>
      <c r="E57" s="76"/>
      <c r="F57" s="77"/>
      <c r="G57" s="77"/>
      <c r="H57" s="77"/>
      <c r="I57" s="77"/>
      <c r="J57" s="77"/>
      <c r="K57" s="77"/>
      <c r="L57" s="77"/>
      <c r="M57" s="77"/>
      <c r="N57" s="77"/>
      <c r="O57" s="77"/>
    </row>
    <row r="58" spans="1:19" outlineLevel="1"/>
    <row r="59" spans="1:19" outlineLevel="1"/>
    <row r="60" spans="1:19" outlineLevel="1">
      <c r="F60" s="78" t="s">
        <v>8</v>
      </c>
      <c r="G60" s="79"/>
      <c r="H60" s="79"/>
      <c r="I60" s="79"/>
      <c r="J60" s="80"/>
      <c r="K60" s="78" t="s">
        <v>7</v>
      </c>
      <c r="L60" s="79"/>
      <c r="M60" s="79"/>
      <c r="N60" s="79"/>
      <c r="O60" s="80"/>
      <c r="P60" s="81"/>
      <c r="Q60" s="81"/>
      <c r="R60" s="82"/>
    </row>
    <row r="61" spans="1:19" outlineLevel="1">
      <c r="F61" s="136">
        <f>F12</f>
        <v>2015</v>
      </c>
      <c r="G61" s="110">
        <f t="shared" ref="G61:R61" si="22">F61+1</f>
        <v>2016</v>
      </c>
      <c r="H61" s="110">
        <f t="shared" si="22"/>
        <v>2017</v>
      </c>
      <c r="I61" s="110">
        <f t="shared" si="22"/>
        <v>2018</v>
      </c>
      <c r="J61" s="111">
        <f t="shared" si="22"/>
        <v>2019</v>
      </c>
      <c r="K61" s="110">
        <f t="shared" si="22"/>
        <v>2020</v>
      </c>
      <c r="L61" s="110">
        <f t="shared" si="22"/>
        <v>2021</v>
      </c>
      <c r="M61" s="110">
        <f t="shared" si="22"/>
        <v>2022</v>
      </c>
      <c r="N61" s="110">
        <f t="shared" si="22"/>
        <v>2023</v>
      </c>
      <c r="O61" s="110">
        <f t="shared" si="22"/>
        <v>2024</v>
      </c>
      <c r="P61" s="110">
        <f t="shared" si="22"/>
        <v>2025</v>
      </c>
      <c r="Q61" s="110">
        <f t="shared" si="22"/>
        <v>2026</v>
      </c>
      <c r="R61" s="110">
        <f t="shared" si="22"/>
        <v>2027</v>
      </c>
    </row>
    <row r="62" spans="1:19" outlineLevel="1">
      <c r="B62" s="67" t="s">
        <v>14</v>
      </c>
      <c r="F62" s="87" t="str">
        <f>IFERROR(INDEX(YETI_BS!$A$6:$E$69,MATCH(YETI_DCF!$B62,YETI_BS!$A$6:$A$69,0),MATCH(YETI_DCF!F$61,YETI_BS!$A$6:$E$6,0)),"")</f>
        <v/>
      </c>
      <c r="G62" s="87">
        <f>IFERROR(INDEX(YETI_BS!$A$6:$E$69,MATCH(YETI_DCF!$B62,YETI_BS!$A$6:$A$69,0),MATCH(YETI_DCF!G$61,YETI_BS!$A$6:$E$6,0)),"")</f>
        <v>331010</v>
      </c>
      <c r="H62" s="87">
        <f>IFERROR(INDEX(YETI_BS!$A$6:$E$69,MATCH(YETI_DCF!$B62,YETI_BS!$A$6:$A$69,0),MATCH(YETI_DCF!H$61,YETI_BS!$A$6:$E$6,0)),"")</f>
        <v>303034</v>
      </c>
      <c r="I62" s="87">
        <f>IFERROR(INDEX(YETI_BS!$A$6:$E$69,MATCH(YETI_DCF!$B62,YETI_BS!$A$6:$A$69,0),MATCH(YETI_DCF!I$61,YETI_BS!$A$6:$E$6,0)),"")</f>
        <v>297013</v>
      </c>
      <c r="J62" s="88">
        <f>IFERROR(INDEX(YETI_BS!$A$6:$E$69,MATCH(YETI_DCF!$B62,YETI_BS!$A$6:$A$69,0),MATCH(YETI_DCF!J$61,YETI_BS!$A$6:$E$6,0)),"")</f>
        <v>360547</v>
      </c>
    </row>
    <row r="63" spans="1:19" outlineLevel="1">
      <c r="B63" s="67" t="s">
        <v>262</v>
      </c>
      <c r="F63" s="90" t="str">
        <f>IFERROR(INDEX(YETI_BS!$A$6:$E$69,MATCH(YETI_DCF!$B63,YETI_BS!$A$6:$A$69,0),MATCH(YETI_DCF!F$61,YETI_BS!$A$6:$E$6,0)),"")</f>
        <v/>
      </c>
      <c r="G63" s="90">
        <f>IFERROR(INDEX(YETI_BS!$A$6:$E$69,MATCH(YETI_DCF!$B63,YETI_BS!$A$6:$A$69,0),MATCH(YETI_DCF!G$61,YETI_BS!$A$6:$E$6,0)),"")</f>
        <v>21291</v>
      </c>
      <c r="H63" s="90">
        <f>IFERROR(INDEX(YETI_BS!$A$6:$E$69,MATCH(YETI_DCF!$B63,YETI_BS!$A$6:$A$69,0),MATCH(YETI_DCF!H$61,YETI_BS!$A$6:$E$6,0)),"")</f>
        <v>53650</v>
      </c>
      <c r="I63" s="90">
        <f>IFERROR(INDEX(YETI_BS!$A$6:$E$69,MATCH(YETI_DCF!$B63,YETI_BS!$A$6:$A$69,0),MATCH(YETI_DCF!I$61,YETI_BS!$A$6:$E$6,0)),"")</f>
        <v>80051</v>
      </c>
      <c r="J63" s="91">
        <f>IFERROR(INDEX(YETI_BS!$A$6:$E$69,MATCH(YETI_DCF!$B63,YETI_BS!$A$6:$A$69,0),MATCH(YETI_DCF!J$61,YETI_BS!$A$6:$E$6,0)),"")</f>
        <v>72515</v>
      </c>
    </row>
    <row r="64" spans="1:19" outlineLevel="1">
      <c r="B64" s="67" t="s">
        <v>13</v>
      </c>
      <c r="F64" s="92" t="str">
        <f>IFERROR(F62-F63,"")</f>
        <v/>
      </c>
      <c r="G64" s="92">
        <f t="shared" ref="G64:J64" si="23">IFERROR(G62-G63,"")</f>
        <v>309719</v>
      </c>
      <c r="H64" s="92">
        <f t="shared" si="23"/>
        <v>249384</v>
      </c>
      <c r="I64" s="92">
        <f t="shared" si="23"/>
        <v>216962</v>
      </c>
      <c r="J64" s="93">
        <f t="shared" si="23"/>
        <v>288032</v>
      </c>
    </row>
    <row r="65" spans="1:18" outlineLevel="1">
      <c r="F65" s="94"/>
      <c r="G65" s="94"/>
      <c r="H65" s="94"/>
      <c r="I65" s="94"/>
      <c r="J65" s="95"/>
    </row>
    <row r="66" spans="1:18" outlineLevel="1">
      <c r="B66" s="67" t="s">
        <v>12</v>
      </c>
      <c r="F66" s="90" t="str">
        <f>IFERROR(INDEX(YETI_BS!$A$6:$E$69,MATCH(YETI_DCF!$B66,YETI_BS!$A$6:$A$69,0),MATCH(YETI_DCF!F$61,YETI_BS!$A$6:$E$6,0)),"")</f>
        <v/>
      </c>
      <c r="G66" s="90">
        <f>IFERROR(INDEX(YETI_BS!$A$6:$E$69,MATCH(YETI_DCF!$B66,YETI_BS!$A$6:$A$69,0),MATCH(YETI_DCF!G$61,YETI_BS!$A$6:$E$6,0)),"")</f>
        <v>137865</v>
      </c>
      <c r="H66" s="90">
        <f>IFERROR(INDEX(YETI_BS!$A$6:$E$69,MATCH(YETI_DCF!$B66,YETI_BS!$A$6:$A$69,0),MATCH(YETI_DCF!H$61,YETI_BS!$A$6:$E$6,0)),"")</f>
        <v>151898</v>
      </c>
      <c r="I66" s="90">
        <f>IFERROR(INDEX(YETI_BS!$A$6:$E$69,MATCH(YETI_DCF!$B66,YETI_BS!$A$6:$A$69,0),MATCH(YETI_DCF!I$61,YETI_BS!$A$6:$E$6,0)),"")</f>
        <v>187338</v>
      </c>
      <c r="J66" s="91">
        <f>IFERROR(INDEX(YETI_BS!$A$6:$E$69,MATCH(YETI_DCF!$B66,YETI_BS!$A$6:$A$69,0),MATCH(YETI_DCF!J$61,YETI_BS!$A$6:$E$6,0)),"")</f>
        <v>170312</v>
      </c>
    </row>
    <row r="67" spans="1:18" outlineLevel="1">
      <c r="B67" s="67" t="s">
        <v>263</v>
      </c>
      <c r="F67" s="90" t="str">
        <f>IFERROR(INDEX(YETI_BS!$A$6:$E$69,MATCH(YETI_DCF!$B67,YETI_BS!$A$6:$A$69,0),MATCH(YETI_DCF!F$61,YETI_BS!$A$6:$E$6,0)),"")</f>
        <v/>
      </c>
      <c r="G67" s="90">
        <f>IFERROR(INDEX(YETI_BS!$A$6:$E$69,MATCH(YETI_DCF!$B67,YETI_BS!$A$6:$A$69,0),MATCH(YETI_DCF!G$61,YETI_BS!$A$6:$E$6,0)),"")</f>
        <v>45550</v>
      </c>
      <c r="H67" s="90">
        <f>IFERROR(INDEX(YETI_BS!$A$6:$E$69,MATCH(YETI_DCF!$B67,YETI_BS!$A$6:$A$69,0),MATCH(YETI_DCF!H$61,YETI_BS!$A$6:$E$6,0)),"")</f>
        <v>47050</v>
      </c>
      <c r="I67" s="90">
        <f>IFERROR(INDEX(YETI_BS!$A$6:$E$69,MATCH(YETI_DCF!$B67,YETI_BS!$A$6:$A$69,0),MATCH(YETI_DCF!I$61,YETI_BS!$A$6:$E$6,0)),"")</f>
        <v>43638</v>
      </c>
      <c r="J67" s="91">
        <f>IFERROR(INDEX(YETI_BS!$A$6:$E$69,MATCH(YETI_DCF!$B67,YETI_BS!$A$6:$A$69,0),MATCH(YETI_DCF!J$61,YETI_BS!$A$6:$E$6,0)),"")</f>
        <v>15185</v>
      </c>
    </row>
    <row r="68" spans="1:18" outlineLevel="1">
      <c r="B68" s="67" t="s">
        <v>264</v>
      </c>
      <c r="F68" s="90" t="str">
        <f>IFERROR(INDEX(YETI_BS!$A$6:$E$69,MATCH(YETI_DCF!$B68,YETI_BS!$A$6:$A$69,0),MATCH(YETI_DCF!F$61,YETI_BS!$A$6:$E$6,0)),"")</f>
        <v/>
      </c>
      <c r="G68" s="90">
        <f>IFERROR(INDEX(YETI_BS!$A$6:$E$69,MATCH(YETI_DCF!$B68,YETI_BS!$A$6:$A$69,0),MATCH(YETI_DCF!G$61,YETI_BS!$A$6:$E$6,0)),"")</f>
        <v>0</v>
      </c>
      <c r="H68" s="90">
        <f>IFERROR(INDEX(YETI_BS!$A$6:$E$69,MATCH(YETI_DCF!$B68,YETI_BS!$A$6:$A$69,0),MATCH(YETI_DCF!H$61,YETI_BS!$A$6:$E$6,0)),"")</f>
        <v>0</v>
      </c>
      <c r="I68" s="90">
        <f>IFERROR(INDEX(YETI_BS!$A$6:$E$69,MATCH(YETI_DCF!$B68,YETI_BS!$A$6:$A$69,0),MATCH(YETI_DCF!I$61,YETI_BS!$A$6:$E$6,0)),"")</f>
        <v>0</v>
      </c>
      <c r="J68" s="91">
        <f>IFERROR(INDEX(YETI_BS!$A$6:$E$69,MATCH(YETI_DCF!$B68,YETI_BS!$A$6:$A$69,0),MATCH(YETI_DCF!J$61,YETI_BS!$A$6:$E$6,0)),"")</f>
        <v>7768</v>
      </c>
    </row>
    <row r="69" spans="1:18" outlineLevel="1">
      <c r="B69" s="67" t="s">
        <v>11</v>
      </c>
      <c r="F69" s="92" t="str">
        <f>IFERROR(F66-F67-F68,"")</f>
        <v/>
      </c>
      <c r="G69" s="92">
        <f t="shared" ref="G69:J69" si="24">IFERROR(G66-G67-G68,"")</f>
        <v>92315</v>
      </c>
      <c r="H69" s="92">
        <f t="shared" si="24"/>
        <v>104848</v>
      </c>
      <c r="I69" s="92">
        <f t="shared" si="24"/>
        <v>143700</v>
      </c>
      <c r="J69" s="93">
        <f t="shared" si="24"/>
        <v>147359</v>
      </c>
    </row>
    <row r="70" spans="1:18" outlineLevel="1">
      <c r="F70" s="92"/>
      <c r="G70" s="92"/>
      <c r="H70" s="92"/>
      <c r="I70" s="92"/>
      <c r="J70" s="93"/>
    </row>
    <row r="71" spans="1:18" outlineLevel="1">
      <c r="B71" s="74" t="s">
        <v>10</v>
      </c>
      <c r="F71" s="92" t="str">
        <f>IFERROR(F64-F69,"")</f>
        <v/>
      </c>
      <c r="G71" s="92">
        <f t="shared" ref="G71:J71" si="25">IFERROR(G64-G69,"")</f>
        <v>217404</v>
      </c>
      <c r="H71" s="92">
        <f t="shared" si="25"/>
        <v>144536</v>
      </c>
      <c r="I71" s="92">
        <f t="shared" si="25"/>
        <v>73262</v>
      </c>
      <c r="J71" s="93">
        <f t="shared" si="25"/>
        <v>140673</v>
      </c>
      <c r="K71" s="92">
        <f>K77*K13</f>
        <v>217011.82499999998</v>
      </c>
      <c r="L71" s="92">
        <f t="shared" ref="L71:R71" si="26">L77*L13</f>
        <v>156248.51399999997</v>
      </c>
      <c r="M71" s="92">
        <f t="shared" si="26"/>
        <v>184894.07489999998</v>
      </c>
      <c r="N71" s="92">
        <f t="shared" si="26"/>
        <v>215709.75404999999</v>
      </c>
      <c r="O71" s="92">
        <f t="shared" si="26"/>
        <v>248066.21715749998</v>
      </c>
      <c r="P71" s="92">
        <f t="shared" si="26"/>
        <v>281141.71277849993</v>
      </c>
      <c r="Q71" s="92">
        <f t="shared" si="26"/>
        <v>313941.57926932495</v>
      </c>
      <c r="R71" s="92">
        <f t="shared" si="26"/>
        <v>345335.73719625751</v>
      </c>
    </row>
    <row r="72" spans="1:18" outlineLevel="1">
      <c r="B72" s="74" t="s">
        <v>9</v>
      </c>
      <c r="F72" s="87"/>
      <c r="G72" s="87"/>
      <c r="H72" s="89">
        <f>H71-G71</f>
        <v>-72868</v>
      </c>
      <c r="I72" s="89">
        <f t="shared" ref="I72:J72" si="27">I71-H71</f>
        <v>-71274</v>
      </c>
      <c r="J72" s="120">
        <f t="shared" si="27"/>
        <v>67411</v>
      </c>
      <c r="K72" s="89">
        <f>K71-J71</f>
        <v>76338.824999999983</v>
      </c>
      <c r="L72" s="89">
        <f t="shared" ref="L72:R72" si="28">L71-K71</f>
        <v>-60763.311000000016</v>
      </c>
      <c r="M72" s="89">
        <f t="shared" si="28"/>
        <v>28645.560900000011</v>
      </c>
      <c r="N72" s="89">
        <f t="shared" si="28"/>
        <v>30815.679150000011</v>
      </c>
      <c r="O72" s="89">
        <f t="shared" si="28"/>
        <v>32356.463107499992</v>
      </c>
      <c r="P72" s="89">
        <f t="shared" si="28"/>
        <v>33075.495620999951</v>
      </c>
      <c r="Q72" s="89">
        <f t="shared" si="28"/>
        <v>32799.866490825021</v>
      </c>
      <c r="R72" s="89">
        <f t="shared" si="28"/>
        <v>31394.157926932559</v>
      </c>
    </row>
    <row r="73" spans="1:18" outlineLevel="1">
      <c r="F73" s="94"/>
      <c r="G73" s="94"/>
      <c r="H73" s="94"/>
      <c r="I73" s="94"/>
      <c r="J73" s="94"/>
    </row>
    <row r="74" spans="1:18" outlineLevel="1"/>
    <row r="75" spans="1:18" outlineLevel="1">
      <c r="F75" s="78" t="s">
        <v>8</v>
      </c>
      <c r="G75" s="79"/>
      <c r="H75" s="79"/>
      <c r="I75" s="79"/>
      <c r="J75" s="80"/>
      <c r="K75" s="78" t="s">
        <v>7</v>
      </c>
      <c r="L75" s="79"/>
      <c r="M75" s="79"/>
      <c r="N75" s="79"/>
      <c r="O75" s="80"/>
      <c r="P75" s="81"/>
      <c r="Q75" s="81"/>
      <c r="R75" s="82"/>
    </row>
    <row r="76" spans="1:18" outlineLevel="1">
      <c r="F76" s="136">
        <f>F61</f>
        <v>2015</v>
      </c>
      <c r="G76" s="110">
        <f t="shared" ref="G76:R76" si="29">F76+1</f>
        <v>2016</v>
      </c>
      <c r="H76" s="110">
        <f t="shared" si="29"/>
        <v>2017</v>
      </c>
      <c r="I76" s="110">
        <f t="shared" si="29"/>
        <v>2018</v>
      </c>
      <c r="J76" s="111">
        <f t="shared" si="29"/>
        <v>2019</v>
      </c>
      <c r="K76" s="110">
        <f t="shared" si="29"/>
        <v>2020</v>
      </c>
      <c r="L76" s="110">
        <f t="shared" si="29"/>
        <v>2021</v>
      </c>
      <c r="M76" s="110">
        <f t="shared" si="29"/>
        <v>2022</v>
      </c>
      <c r="N76" s="110">
        <f t="shared" si="29"/>
        <v>2023</v>
      </c>
      <c r="O76" s="110">
        <f t="shared" si="29"/>
        <v>2024</v>
      </c>
      <c r="P76" s="110">
        <f t="shared" si="29"/>
        <v>2025</v>
      </c>
      <c r="Q76" s="110">
        <f t="shared" si="29"/>
        <v>2026</v>
      </c>
      <c r="R76" s="110">
        <f t="shared" si="29"/>
        <v>2027</v>
      </c>
    </row>
    <row r="77" spans="1:18" outlineLevel="1">
      <c r="B77" s="67" t="s">
        <v>6</v>
      </c>
      <c r="F77" s="114"/>
      <c r="G77" s="114">
        <f>G71/G13</f>
        <v>0.265478426306059</v>
      </c>
      <c r="H77" s="114">
        <f t="shared" ref="H77:J77" si="30">H71/H13</f>
        <v>0.2261063545872514</v>
      </c>
      <c r="I77" s="114">
        <f t="shared" si="30"/>
        <v>9.4066378800076525E-2</v>
      </c>
      <c r="J77" s="114">
        <f t="shared" si="30"/>
        <v>0.1539539953640775</v>
      </c>
      <c r="K77" s="103">
        <v>0.25</v>
      </c>
      <c r="L77" s="103">
        <v>0.15</v>
      </c>
      <c r="M77" s="114">
        <f>L77</f>
        <v>0.15</v>
      </c>
      <c r="N77" s="114">
        <f t="shared" ref="N77:R77" si="31">M77</f>
        <v>0.15</v>
      </c>
      <c r="O77" s="114">
        <f t="shared" si="31"/>
        <v>0.15</v>
      </c>
      <c r="P77" s="114">
        <f t="shared" si="31"/>
        <v>0.15</v>
      </c>
      <c r="Q77" s="114">
        <f t="shared" si="31"/>
        <v>0.15</v>
      </c>
      <c r="R77" s="114">
        <f t="shared" si="31"/>
        <v>0.15</v>
      </c>
    </row>
    <row r="78" spans="1:18" outlineLevel="1"/>
    <row r="79" spans="1:18" outlineLevel="1"/>
    <row r="80" spans="1:18">
      <c r="A80" s="67" t="s">
        <v>92</v>
      </c>
      <c r="B80" s="137" t="s">
        <v>57</v>
      </c>
      <c r="C80" s="138"/>
      <c r="D80" s="137"/>
      <c r="E80" s="137"/>
      <c r="F80" s="138"/>
      <c r="G80" s="138"/>
      <c r="H80" s="138"/>
      <c r="I80" s="138"/>
      <c r="J80" s="138"/>
      <c r="K80" s="138"/>
      <c r="L80" s="138"/>
      <c r="M80" s="138"/>
      <c r="N80" s="138"/>
      <c r="O80" s="138"/>
    </row>
    <row r="81" spans="1:15" outlineLevel="1"/>
    <row r="82" spans="1:15" outlineLevel="1">
      <c r="H82" s="139"/>
      <c r="I82" s="139"/>
      <c r="J82" s="139"/>
      <c r="K82" s="139"/>
      <c r="L82" s="139"/>
      <c r="M82" s="139"/>
      <c r="N82" s="139"/>
    </row>
    <row r="83" spans="1:15" outlineLevel="1">
      <c r="B83" s="140"/>
      <c r="C83" s="140"/>
      <c r="D83" s="140"/>
      <c r="E83" s="140"/>
      <c r="F83" s="141" t="s">
        <v>265</v>
      </c>
      <c r="G83" s="142"/>
      <c r="H83" s="143"/>
      <c r="I83" s="144"/>
      <c r="J83" s="140"/>
      <c r="K83" s="145" t="s">
        <v>127</v>
      </c>
      <c r="L83" s="143"/>
      <c r="M83" s="143"/>
      <c r="N83" s="144"/>
      <c r="O83" s="140"/>
    </row>
    <row r="84" spans="1:15" outlineLevel="1">
      <c r="F84" s="146" t="s">
        <v>58</v>
      </c>
      <c r="G84" s="147"/>
      <c r="H84" s="148"/>
      <c r="I84" s="149">
        <v>86786443</v>
      </c>
      <c r="J84" s="139"/>
      <c r="K84" s="150" t="s">
        <v>58</v>
      </c>
      <c r="L84" s="148"/>
      <c r="M84" s="148"/>
      <c r="N84" s="149">
        <v>86786443</v>
      </c>
    </row>
    <row r="85" spans="1:15" outlineLevel="1">
      <c r="F85" s="146" t="s">
        <v>266</v>
      </c>
      <c r="G85" s="147"/>
      <c r="H85" s="148"/>
      <c r="I85" s="149">
        <v>1618000</v>
      </c>
      <c r="J85" s="139"/>
      <c r="K85" s="150" t="s">
        <v>128</v>
      </c>
      <c r="L85" s="148"/>
      <c r="M85" s="148"/>
      <c r="N85" s="149">
        <v>1618000</v>
      </c>
    </row>
    <row r="86" spans="1:15" outlineLevel="1">
      <c r="F86" s="146" t="s">
        <v>59</v>
      </c>
      <c r="G86" s="147"/>
      <c r="H86" s="148"/>
      <c r="I86" s="151">
        <v>16.440000000000001</v>
      </c>
      <c r="J86" s="139"/>
      <c r="K86" s="150" t="s">
        <v>59</v>
      </c>
      <c r="L86" s="148"/>
      <c r="M86" s="148"/>
      <c r="N86" s="151">
        <v>16.440000000000001</v>
      </c>
    </row>
    <row r="87" spans="1:15" outlineLevel="1">
      <c r="F87" s="146" t="s">
        <v>60</v>
      </c>
      <c r="G87" s="147"/>
      <c r="H87" s="148"/>
      <c r="I87" s="151">
        <v>21.33</v>
      </c>
      <c r="J87" s="139"/>
      <c r="K87" s="150"/>
      <c r="L87" s="148"/>
      <c r="M87" s="148"/>
      <c r="N87" s="95"/>
    </row>
    <row r="88" spans="1:15" outlineLevel="1">
      <c r="F88" s="146" t="s">
        <v>267</v>
      </c>
      <c r="G88" s="147"/>
      <c r="H88" s="148"/>
      <c r="I88" s="123">
        <f>IF(I86&lt;I87,I85,0)</f>
        <v>1618000</v>
      </c>
      <c r="J88" s="139"/>
      <c r="K88" s="150"/>
      <c r="L88" s="148"/>
      <c r="M88" s="148"/>
      <c r="N88" s="95"/>
    </row>
    <row r="89" spans="1:15" outlineLevel="1">
      <c r="F89" s="146" t="s">
        <v>61</v>
      </c>
      <c r="G89" s="147"/>
      <c r="H89" s="148"/>
      <c r="I89" s="123">
        <f>I88*I86</f>
        <v>26599920.000000004</v>
      </c>
      <c r="J89" s="139"/>
      <c r="K89" s="150" t="s">
        <v>61</v>
      </c>
      <c r="L89" s="148"/>
      <c r="M89" s="148"/>
      <c r="N89" s="130">
        <f>N85*N86</f>
        <v>26599920.000000004</v>
      </c>
    </row>
    <row r="90" spans="1:15" outlineLevel="1">
      <c r="F90" s="146" t="s">
        <v>62</v>
      </c>
      <c r="G90" s="147"/>
      <c r="H90" s="148"/>
      <c r="I90" s="123">
        <f>I89/I87</f>
        <v>1247066.1040787625</v>
      </c>
      <c r="J90" s="139"/>
      <c r="K90" s="150"/>
      <c r="L90" s="148"/>
      <c r="M90" s="148"/>
      <c r="N90" s="95"/>
    </row>
    <row r="91" spans="1:15" outlineLevel="1">
      <c r="F91" s="146" t="s">
        <v>268</v>
      </c>
      <c r="G91" s="147"/>
      <c r="H91" s="148"/>
      <c r="I91" s="149">
        <v>319000</v>
      </c>
      <c r="J91" s="139"/>
      <c r="K91" s="150" t="s">
        <v>268</v>
      </c>
      <c r="L91" s="148"/>
      <c r="M91" s="148"/>
      <c r="N91" s="149">
        <v>319000</v>
      </c>
    </row>
    <row r="92" spans="1:15" outlineLevel="1">
      <c r="F92" s="146" t="s">
        <v>63</v>
      </c>
      <c r="G92" s="147"/>
      <c r="H92" s="147"/>
      <c r="I92" s="123">
        <f>I84+I88-I90+I91</f>
        <v>87476376.89592123</v>
      </c>
      <c r="K92" s="146" t="s">
        <v>63</v>
      </c>
      <c r="L92" s="147"/>
      <c r="M92" s="147"/>
      <c r="N92" s="123">
        <f>N84+N85+N91</f>
        <v>88723443</v>
      </c>
    </row>
    <row r="93" spans="1:15" outlineLevel="1">
      <c r="F93" s="152"/>
      <c r="G93" s="153"/>
      <c r="H93" s="153"/>
      <c r="I93" s="154"/>
      <c r="K93" s="152"/>
      <c r="L93" s="153"/>
      <c r="M93" s="153"/>
      <c r="N93" s="154"/>
    </row>
    <row r="94" spans="1:15" outlineLevel="1"/>
    <row r="95" spans="1:15">
      <c r="A95" s="67" t="s">
        <v>92</v>
      </c>
      <c r="B95" s="76" t="s">
        <v>64</v>
      </c>
      <c r="C95" s="77"/>
      <c r="D95" s="76"/>
      <c r="E95" s="76"/>
      <c r="F95" s="77"/>
      <c r="G95" s="77"/>
      <c r="H95" s="77"/>
      <c r="I95" s="77"/>
      <c r="J95" s="77"/>
      <c r="K95" s="77"/>
      <c r="L95" s="77"/>
      <c r="M95" s="77"/>
      <c r="N95" s="77"/>
      <c r="O95" s="77"/>
    </row>
    <row r="96" spans="1:15">
      <c r="B96" s="155"/>
      <c r="C96" s="156"/>
      <c r="D96" s="155"/>
      <c r="E96" s="155"/>
      <c r="F96" s="156"/>
      <c r="G96" s="156"/>
      <c r="H96" s="156"/>
      <c r="I96" s="156"/>
      <c r="J96" s="156"/>
      <c r="K96" s="156"/>
      <c r="L96" s="156"/>
      <c r="M96" s="156"/>
      <c r="N96" s="156"/>
      <c r="O96" s="156"/>
    </row>
    <row r="97" spans="2:10">
      <c r="F97" s="74" t="s">
        <v>65</v>
      </c>
      <c r="G97" s="74"/>
    </row>
    <row r="98" spans="2:10">
      <c r="B98" s="157" t="s">
        <v>66</v>
      </c>
    </row>
    <row r="99" spans="2:10">
      <c r="B99" s="158" t="s">
        <v>67</v>
      </c>
      <c r="F99" s="159">
        <f>YETI_BS!B59+YETI_BS!B55+YETI_BS!B45+YETI_BS!B60</f>
        <v>346683</v>
      </c>
      <c r="G99" s="94"/>
      <c r="H99" s="94"/>
    </row>
    <row r="100" spans="2:10">
      <c r="B100" s="158" t="s">
        <v>68</v>
      </c>
      <c r="F100" s="160">
        <v>21.33</v>
      </c>
      <c r="G100" s="94"/>
      <c r="H100" s="94"/>
    </row>
    <row r="101" spans="2:10">
      <c r="B101" s="158" t="s">
        <v>93</v>
      </c>
      <c r="F101" s="159">
        <f>86786443/1000</f>
        <v>86786.442999999999</v>
      </c>
      <c r="G101" s="94"/>
      <c r="H101" s="94"/>
    </row>
    <row r="102" spans="2:10">
      <c r="B102" s="158" t="s">
        <v>69</v>
      </c>
      <c r="F102" s="161">
        <f>F100*F101</f>
        <v>1851154.8291899997</v>
      </c>
      <c r="G102" s="94"/>
      <c r="H102" s="94"/>
    </row>
    <row r="103" spans="2:10">
      <c r="B103" s="94"/>
      <c r="F103" s="94"/>
      <c r="G103" s="94"/>
      <c r="H103" s="94"/>
    </row>
    <row r="104" spans="2:10">
      <c r="B104" s="158" t="s">
        <v>70</v>
      </c>
      <c r="F104" s="162">
        <f>F99/(F102+F99)</f>
        <v>0.1577382077037813</v>
      </c>
      <c r="G104" s="94"/>
      <c r="H104" s="94"/>
    </row>
    <row r="105" spans="2:10">
      <c r="B105" s="158" t="s">
        <v>71</v>
      </c>
      <c r="F105" s="162">
        <f>F102/(F99+F102)</f>
        <v>0.84226179229621856</v>
      </c>
      <c r="G105" s="94"/>
      <c r="H105" s="94"/>
    </row>
    <row r="106" spans="2:10">
      <c r="B106" s="94"/>
      <c r="F106" s="94"/>
      <c r="G106" s="94"/>
      <c r="H106" s="94"/>
    </row>
    <row r="107" spans="2:10">
      <c r="B107" s="157" t="s">
        <v>72</v>
      </c>
      <c r="F107" s="94"/>
      <c r="G107" s="94"/>
      <c r="H107" s="94"/>
    </row>
    <row r="108" spans="2:10">
      <c r="B108" s="158" t="s">
        <v>269</v>
      </c>
      <c r="F108" s="163">
        <f>YETI_IS!B16/YETI_IS!B17</f>
        <v>4.121906423619083</v>
      </c>
      <c r="G108" s="94"/>
      <c r="H108" s="94"/>
    </row>
    <row r="109" spans="2:10">
      <c r="B109" s="158" t="s">
        <v>270</v>
      </c>
      <c r="F109" s="164">
        <v>2.9700000000000001E-2</v>
      </c>
      <c r="G109" s="94"/>
      <c r="H109" s="94"/>
    </row>
    <row r="110" spans="2:10">
      <c r="B110" s="158" t="s">
        <v>73</v>
      </c>
      <c r="F110" s="162">
        <f>F109+F114</f>
        <v>3.8400000000000004E-2</v>
      </c>
      <c r="G110" s="94"/>
      <c r="H110" s="94"/>
    </row>
    <row r="111" spans="2:10">
      <c r="B111" s="158" t="s">
        <v>74</v>
      </c>
      <c r="F111" s="103">
        <v>0.25</v>
      </c>
      <c r="G111" s="94"/>
      <c r="H111" s="94"/>
    </row>
    <row r="112" spans="2:10">
      <c r="B112" s="94"/>
      <c r="F112" s="94"/>
      <c r="G112" s="94"/>
      <c r="H112" s="94"/>
      <c r="J112" s="134"/>
    </row>
    <row r="113" spans="1:15">
      <c r="B113" s="157" t="s">
        <v>75</v>
      </c>
      <c r="F113" s="94"/>
      <c r="G113" s="94"/>
      <c r="H113" s="94"/>
    </row>
    <row r="114" spans="1:15">
      <c r="B114" s="158" t="s">
        <v>76</v>
      </c>
      <c r="F114" s="164">
        <v>8.6999999999999994E-3</v>
      </c>
      <c r="G114" s="94"/>
      <c r="H114" s="94"/>
    </row>
    <row r="115" spans="1:15">
      <c r="B115" s="158" t="s">
        <v>77</v>
      </c>
      <c r="F115" s="162">
        <v>5.7700000000000001E-2</v>
      </c>
      <c r="G115" s="94"/>
      <c r="H115" s="94"/>
    </row>
    <row r="116" spans="1:15">
      <c r="B116" s="158" t="s">
        <v>78</v>
      </c>
      <c r="F116" s="165">
        <f>C136</f>
        <v>0.92329196246247169</v>
      </c>
      <c r="G116" s="94"/>
      <c r="H116" s="94"/>
    </row>
    <row r="117" spans="1:15">
      <c r="B117" s="157" t="s">
        <v>75</v>
      </c>
      <c r="F117" s="162">
        <f>F114+F115*F116</f>
        <v>6.1973946234084615E-2</v>
      </c>
      <c r="G117" s="94"/>
      <c r="H117" s="94"/>
    </row>
    <row r="118" spans="1:15">
      <c r="B118" s="94"/>
      <c r="F118" s="94"/>
      <c r="G118" s="94"/>
      <c r="H118" s="94"/>
    </row>
    <row r="119" spans="1:15">
      <c r="B119" s="157" t="s">
        <v>79</v>
      </c>
      <c r="F119" s="162">
        <f>F105*F117+F104*F110*(1-F111)</f>
        <v>5.6741147412658489E-2</v>
      </c>
      <c r="G119" s="94"/>
      <c r="H119" s="94"/>
    </row>
    <row r="121" spans="1:15">
      <c r="A121" s="67" t="s">
        <v>92</v>
      </c>
      <c r="B121" s="76" t="s">
        <v>80</v>
      </c>
      <c r="C121" s="77"/>
      <c r="D121" s="76"/>
      <c r="E121" s="76"/>
      <c r="F121" s="77"/>
      <c r="G121" s="77"/>
      <c r="H121" s="77"/>
      <c r="I121" s="77"/>
      <c r="J121" s="77"/>
      <c r="K121" s="77"/>
      <c r="L121" s="77"/>
      <c r="M121" s="77"/>
      <c r="N121" s="77"/>
      <c r="O121" s="77"/>
    </row>
    <row r="122" spans="1:15">
      <c r="B122" s="158"/>
      <c r="C122" s="158"/>
      <c r="D122" s="158"/>
      <c r="E122" s="158"/>
      <c r="F122" s="158"/>
      <c r="G122" s="158"/>
      <c r="H122" s="158"/>
      <c r="I122" s="158"/>
      <c r="J122" s="158"/>
      <c r="K122" s="158"/>
      <c r="L122" s="158"/>
      <c r="M122" s="158"/>
    </row>
    <row r="123" spans="1:15">
      <c r="B123" s="158"/>
      <c r="C123" s="158"/>
      <c r="D123" s="158"/>
      <c r="E123" s="158"/>
      <c r="F123" s="158"/>
      <c r="G123" s="158"/>
      <c r="H123" s="158"/>
      <c r="I123" s="158"/>
      <c r="J123" s="158"/>
      <c r="K123" s="158"/>
      <c r="L123" s="158"/>
      <c r="M123" s="158"/>
    </row>
    <row r="124" spans="1:15">
      <c r="B124" s="158"/>
      <c r="C124" s="158"/>
      <c r="D124" s="158"/>
      <c r="E124" s="166" t="s">
        <v>81</v>
      </c>
      <c r="F124" s="166" t="s">
        <v>82</v>
      </c>
      <c r="G124" s="167" t="s">
        <v>83</v>
      </c>
      <c r="H124" s="167" t="s">
        <v>84</v>
      </c>
      <c r="I124" s="167" t="s">
        <v>85</v>
      </c>
      <c r="J124" s="158"/>
      <c r="K124" s="167" t="s">
        <v>86</v>
      </c>
    </row>
    <row r="125" spans="1:15" ht="14.5" thickBot="1">
      <c r="B125" s="168" t="s">
        <v>87</v>
      </c>
      <c r="C125" s="169" t="s">
        <v>147</v>
      </c>
      <c r="D125" s="170"/>
      <c r="E125" s="170" t="s">
        <v>88</v>
      </c>
      <c r="F125" s="170" t="s">
        <v>89</v>
      </c>
      <c r="G125" s="170" t="s">
        <v>88</v>
      </c>
      <c r="H125" s="170" t="s">
        <v>78</v>
      </c>
      <c r="I125" s="170" t="s">
        <v>78</v>
      </c>
      <c r="J125" s="158"/>
      <c r="K125" s="170" t="s">
        <v>90</v>
      </c>
    </row>
    <row r="126" spans="1:15">
      <c r="B126" s="158" t="s">
        <v>271</v>
      </c>
      <c r="C126" s="158" t="s">
        <v>272</v>
      </c>
      <c r="D126" s="158"/>
      <c r="E126" s="171">
        <v>277.06200000000001</v>
      </c>
      <c r="F126" s="172">
        <v>22.67</v>
      </c>
      <c r="G126" s="173">
        <f>F126/E126</f>
        <v>8.1822841096938589E-2</v>
      </c>
      <c r="H126" s="174">
        <v>1.28</v>
      </c>
      <c r="I126" s="173">
        <f>H126/(1+(G126*(1-K126)))</f>
        <v>1.2059917467086303</v>
      </c>
      <c r="J126" s="158"/>
      <c r="K126" s="103">
        <v>0.25</v>
      </c>
    </row>
    <row r="127" spans="1:15">
      <c r="B127" s="158" t="s">
        <v>273</v>
      </c>
      <c r="C127" s="158" t="s">
        <v>274</v>
      </c>
      <c r="D127" s="158"/>
      <c r="E127" s="171">
        <v>951.6</v>
      </c>
      <c r="F127" s="172">
        <f>443.259+137.697+26.418</f>
        <v>607.37400000000002</v>
      </c>
      <c r="G127" s="173">
        <f t="shared" ref="G127:G129" si="32">F127/E127</f>
        <v>0.63826607818411096</v>
      </c>
      <c r="H127" s="174">
        <v>1.45</v>
      </c>
      <c r="I127" s="173">
        <f t="shared" ref="I127:I129" si="33">H127/(1+(G127*(1-K127)))</f>
        <v>0.98059135240121653</v>
      </c>
      <c r="J127" s="158"/>
      <c r="K127" s="162">
        <f>K126</f>
        <v>0.25</v>
      </c>
    </row>
    <row r="128" spans="1:15">
      <c r="B128" s="158" t="s">
        <v>275</v>
      </c>
      <c r="C128" s="158" t="s">
        <v>276</v>
      </c>
      <c r="D128" s="158"/>
      <c r="E128" s="171">
        <v>397.05</v>
      </c>
      <c r="F128" s="172">
        <v>704.005</v>
      </c>
      <c r="G128" s="173">
        <f t="shared" si="32"/>
        <v>1.7730890316081098</v>
      </c>
      <c r="H128" s="174">
        <v>0.47</v>
      </c>
      <c r="I128" s="173">
        <f t="shared" si="33"/>
        <v>0.20173260202447693</v>
      </c>
      <c r="J128" s="158"/>
      <c r="K128" s="162">
        <f t="shared" ref="K128:K129" si="34">K127</f>
        <v>0.25</v>
      </c>
    </row>
    <row r="129" spans="1:15">
      <c r="B129" s="158" t="s">
        <v>277</v>
      </c>
      <c r="C129" s="158" t="s">
        <v>278</v>
      </c>
      <c r="D129" s="158"/>
      <c r="E129" s="171">
        <v>25228</v>
      </c>
      <c r="F129" s="172">
        <v>0</v>
      </c>
      <c r="G129" s="173">
        <f t="shared" si="32"/>
        <v>0</v>
      </c>
      <c r="H129" s="174">
        <v>0.85</v>
      </c>
      <c r="I129" s="173">
        <f t="shared" si="33"/>
        <v>0.85</v>
      </c>
      <c r="J129" s="158"/>
      <c r="K129" s="162">
        <f t="shared" si="34"/>
        <v>0.25</v>
      </c>
    </row>
    <row r="130" spans="1:15">
      <c r="B130" s="158"/>
      <c r="C130" s="158"/>
      <c r="D130" s="158"/>
      <c r="E130" s="171"/>
      <c r="F130" s="172"/>
      <c r="G130" s="173"/>
      <c r="H130" s="174"/>
      <c r="I130" s="175"/>
      <c r="J130" s="158"/>
      <c r="K130" s="176"/>
    </row>
    <row r="131" spans="1:15">
      <c r="B131" s="158"/>
      <c r="C131" s="158"/>
      <c r="D131" s="158"/>
      <c r="E131" s="171"/>
      <c r="F131" s="172"/>
      <c r="G131" s="173"/>
      <c r="H131" s="174"/>
      <c r="I131" s="175"/>
      <c r="J131" s="158"/>
      <c r="K131" s="176"/>
    </row>
    <row r="132" spans="1:15">
      <c r="B132" s="158"/>
      <c r="C132" s="158"/>
      <c r="D132" s="158"/>
      <c r="E132" s="158"/>
      <c r="F132" s="158"/>
      <c r="G132" s="158"/>
      <c r="H132" s="158"/>
      <c r="I132" s="158"/>
      <c r="J132" s="158"/>
      <c r="K132" s="158"/>
      <c r="L132" s="158"/>
      <c r="M132" s="158"/>
    </row>
    <row r="133" spans="1:15">
      <c r="B133" s="158" t="s">
        <v>91</v>
      </c>
      <c r="C133" s="175">
        <f>AVERAGE(I126:I129)</f>
        <v>0.80957892528358089</v>
      </c>
      <c r="D133" s="158"/>
      <c r="E133" s="158"/>
      <c r="F133" s="158"/>
      <c r="G133" s="158"/>
      <c r="H133" s="158"/>
      <c r="I133" s="175"/>
      <c r="J133" s="158"/>
      <c r="K133" s="175"/>
      <c r="L133" s="158"/>
      <c r="M133" s="158"/>
    </row>
    <row r="134" spans="1:15">
      <c r="B134" s="158" t="str">
        <f>C3&amp;" Debt/Equity ratio"</f>
        <v>YETI Debt/Equity ratio</v>
      </c>
      <c r="C134" s="175">
        <f>F99/F102</f>
        <v>0.18727931047868984</v>
      </c>
      <c r="D134" s="158"/>
      <c r="E134" s="158"/>
      <c r="F134" s="158"/>
      <c r="G134" s="158"/>
      <c r="H134" s="158"/>
      <c r="I134" s="177"/>
      <c r="J134" s="158"/>
      <c r="K134" s="178"/>
      <c r="L134" s="158"/>
      <c r="M134" s="158"/>
    </row>
    <row r="135" spans="1:15">
      <c r="B135" s="158" t="str">
        <f>C3&amp;" Tax Rate"</f>
        <v>YETI Tax Rate</v>
      </c>
      <c r="C135" s="178">
        <f>K126</f>
        <v>0.25</v>
      </c>
      <c r="D135" s="158"/>
      <c r="E135" s="158"/>
      <c r="F135" s="158"/>
      <c r="G135" s="158"/>
      <c r="H135" s="158"/>
      <c r="I135" s="176"/>
      <c r="J135" s="158"/>
      <c r="L135" s="158"/>
      <c r="M135" s="158"/>
    </row>
    <row r="136" spans="1:15">
      <c r="B136" s="157" t="str">
        <f>C3&amp;" Levered Beta"</f>
        <v>YETI Levered Beta</v>
      </c>
      <c r="C136" s="175">
        <f>C133*(1+(C134*(1-C135)))</f>
        <v>0.92329196246247169</v>
      </c>
      <c r="D136" s="158"/>
      <c r="E136" s="158"/>
      <c r="F136" s="158"/>
      <c r="G136" s="158"/>
      <c r="H136" s="158"/>
      <c r="I136" s="175"/>
      <c r="J136" s="158"/>
      <c r="K136" s="179"/>
      <c r="L136" s="158"/>
      <c r="M136" s="158"/>
    </row>
    <row r="138" spans="1:15">
      <c r="A138" s="67" t="s">
        <v>92</v>
      </c>
      <c r="B138" s="76" t="s">
        <v>133</v>
      </c>
      <c r="C138" s="77"/>
      <c r="D138" s="76"/>
      <c r="E138" s="76"/>
      <c r="F138" s="77"/>
      <c r="G138" s="77"/>
      <c r="H138" s="77"/>
      <c r="I138" s="77"/>
      <c r="J138" s="77"/>
      <c r="K138" s="77"/>
      <c r="L138" s="77"/>
      <c r="M138" s="77"/>
      <c r="N138" s="77"/>
      <c r="O138" s="77"/>
    </row>
    <row r="140" spans="1:15">
      <c r="D140" s="124"/>
    </row>
    <row r="141" spans="1:15">
      <c r="C141" s="180">
        <f>H53</f>
        <v>36.697254917816707</v>
      </c>
      <c r="D141" s="181">
        <v>0.04</v>
      </c>
      <c r="E141" s="182">
        <f>D141+0.01</f>
        <v>0.05</v>
      </c>
      <c r="F141" s="182">
        <f t="shared" ref="F141:L141" si="35">E141+0.01</f>
        <v>6.0000000000000005E-2</v>
      </c>
      <c r="G141" s="182">
        <f t="shared" si="35"/>
        <v>7.0000000000000007E-2</v>
      </c>
      <c r="H141" s="182">
        <f t="shared" si="35"/>
        <v>0.08</v>
      </c>
      <c r="I141" s="182">
        <f t="shared" si="35"/>
        <v>0.09</v>
      </c>
      <c r="J141" s="182">
        <f t="shared" si="35"/>
        <v>9.9999999999999992E-2</v>
      </c>
      <c r="K141" s="182">
        <f t="shared" si="35"/>
        <v>0.10999999999999999</v>
      </c>
      <c r="L141" s="182">
        <f t="shared" si="35"/>
        <v>0.11999999999999998</v>
      </c>
    </row>
    <row r="142" spans="1:15">
      <c r="C142" s="181">
        <v>0.01</v>
      </c>
      <c r="D142" s="183">
        <f t="dataTable" ref="D142:L147" dt2D="1" dtr="1" r1="F119" r2="H43"/>
        <v>64.02872575610408</v>
      </c>
      <c r="E142" s="183">
        <v>45.576312281243936</v>
      </c>
      <c r="F142" s="183">
        <v>34.588197104792876</v>
      </c>
      <c r="G142" s="183">
        <v>27.327161704496348</v>
      </c>
      <c r="H142" s="183">
        <v>22.191898765247583</v>
      </c>
      <c r="I142" s="183">
        <v>18.382039085449037</v>
      </c>
      <c r="J142" s="183">
        <v>15.453163088042471</v>
      </c>
      <c r="K142" s="183">
        <v>13.138807464693665</v>
      </c>
      <c r="L142" s="183">
        <v>11.269560759970176</v>
      </c>
    </row>
    <row r="143" spans="1:15">
      <c r="C143" s="181">
        <f>C142+0.005</f>
        <v>1.4999999999999999E-2</v>
      </c>
      <c r="D143" s="183">
        <v>76.210434738138972</v>
      </c>
      <c r="E143" s="183">
        <v>51.67940164936396</v>
      </c>
      <c r="F143" s="183">
        <v>38.141885005348868</v>
      </c>
      <c r="G143" s="184">
        <v>29.595994414991495</v>
      </c>
      <c r="H143" s="183">
        <v>23.73368858417982</v>
      </c>
      <c r="I143" s="183">
        <v>19.478179328860566</v>
      </c>
      <c r="J143" s="183">
        <v>16.259641278577558</v>
      </c>
      <c r="K143" s="183">
        <v>13.748370189589318</v>
      </c>
      <c r="L143" s="183">
        <v>11.740423922992617</v>
      </c>
    </row>
    <row r="144" spans="1:15">
      <c r="B144" s="185" t="s">
        <v>134</v>
      </c>
      <c r="C144" s="181">
        <f t="shared" ref="C144:C147" si="36">C143+0.005</f>
        <v>0.02</v>
      </c>
      <c r="D144" s="183">
        <v>94.482998211191344</v>
      </c>
      <c r="E144" s="183">
        <v>59.816854140190699</v>
      </c>
      <c r="F144" s="183">
        <v>42.58399488104385</v>
      </c>
      <c r="G144" s="183">
        <v>32.318593667585674</v>
      </c>
      <c r="H144" s="183">
        <v>25.532443372934104</v>
      </c>
      <c r="I144" s="183">
        <v>20.7309110356166</v>
      </c>
      <c r="J144" s="183">
        <v>17.166929242929534</v>
      </c>
      <c r="K144" s="183">
        <v>14.425662106140049</v>
      </c>
      <c r="L144" s="183">
        <v>12.258373402317307</v>
      </c>
    </row>
    <row r="145" spans="2:12">
      <c r="C145" s="181">
        <f t="shared" si="36"/>
        <v>2.5000000000000001E-2</v>
      </c>
      <c r="D145" s="183">
        <v>124.93727066627864</v>
      </c>
      <c r="E145" s="183">
        <v>71.20928762734809</v>
      </c>
      <c r="F145" s="183">
        <v>48.295279006937413</v>
      </c>
      <c r="G145" s="183">
        <v>35.646214976311889</v>
      </c>
      <c r="H145" s="183">
        <v>27.658244486916434</v>
      </c>
      <c r="I145" s="183">
        <v>22.176370697258168</v>
      </c>
      <c r="J145" s="183">
        <v>18.195188935861772</v>
      </c>
      <c r="K145" s="183">
        <v>15.182635424637919</v>
      </c>
      <c r="L145" s="183">
        <v>12.830843879465647</v>
      </c>
    </row>
    <row r="146" spans="2:12">
      <c r="B146" s="185"/>
      <c r="C146" s="181">
        <f t="shared" si="36"/>
        <v>3.0000000000000002E-2</v>
      </c>
      <c r="D146" s="183">
        <v>185.84581557645319</v>
      </c>
      <c r="E146" s="183">
        <v>88.297937858084239</v>
      </c>
      <c r="F146" s="183">
        <v>55.910324508128824</v>
      </c>
      <c r="G146" s="183">
        <v>39.805741612219663</v>
      </c>
      <c r="H146" s="183">
        <v>30.209205823695225</v>
      </c>
      <c r="I146" s="183">
        <v>23.862740302506676</v>
      </c>
      <c r="J146" s="183">
        <v>19.370342870641469</v>
      </c>
      <c r="K146" s="183">
        <v>16.034230407948026</v>
      </c>
      <c r="L146" s="183">
        <v>13.466922187408244</v>
      </c>
    </row>
    <row r="147" spans="2:12">
      <c r="C147" s="181">
        <f t="shared" si="36"/>
        <v>3.5000000000000003E-2</v>
      </c>
      <c r="D147" s="183">
        <v>368.57145030697689</v>
      </c>
      <c r="E147" s="183">
        <v>116.77902157597778</v>
      </c>
      <c r="F147" s="183">
        <v>66.571388209796794</v>
      </c>
      <c r="G147" s="183">
        <v>45.153704429815377</v>
      </c>
      <c r="H147" s="183">
        <v>33.327047457535976</v>
      </c>
      <c r="I147" s="183">
        <v>25.855722563254908</v>
      </c>
      <c r="J147" s="183">
        <v>20.726289718464205</v>
      </c>
      <c r="K147" s="183">
        <v>16.999371389032813</v>
      </c>
      <c r="L147" s="183">
        <v>14.177833237461737</v>
      </c>
    </row>
    <row r="148" spans="2:12">
      <c r="C148" s="180"/>
      <c r="D148" s="124"/>
    </row>
    <row r="149" spans="2:12">
      <c r="C149" s="180"/>
      <c r="D149" s="124"/>
    </row>
    <row r="150" spans="2:12">
      <c r="C150" s="180"/>
      <c r="D150" s="124"/>
    </row>
    <row r="151" spans="2:12" ht="14.5" thickBot="1">
      <c r="B151" s="185"/>
      <c r="C151" s="182"/>
      <c r="D151" s="124"/>
      <c r="E151" s="124"/>
      <c r="F151" s="124"/>
      <c r="G151" s="124"/>
      <c r="H151" s="124"/>
      <c r="I151" s="124"/>
      <c r="J151" s="124"/>
      <c r="K151" s="124"/>
      <c r="L151" s="124"/>
    </row>
    <row r="152" spans="2:12">
      <c r="C152" s="182"/>
      <c r="D152" s="186" t="s">
        <v>136</v>
      </c>
      <c r="E152" s="186"/>
      <c r="F152" s="187"/>
      <c r="G152" s="187"/>
      <c r="H152" s="187"/>
      <c r="I152" s="124"/>
      <c r="J152" s="124"/>
      <c r="K152" s="124"/>
      <c r="L152" s="124"/>
    </row>
    <row r="153" spans="2:12">
      <c r="C153" s="182"/>
      <c r="D153" s="188"/>
      <c r="E153" s="188"/>
      <c r="F153" s="189" t="s">
        <v>279</v>
      </c>
      <c r="G153" s="189" t="s">
        <v>280</v>
      </c>
      <c r="H153" s="189" t="s">
        <v>135</v>
      </c>
      <c r="I153" s="124"/>
      <c r="J153" s="124"/>
      <c r="K153" s="124"/>
      <c r="L153" s="124"/>
    </row>
    <row r="154" spans="2:12" ht="30">
      <c r="C154" s="182"/>
      <c r="D154" s="190"/>
      <c r="E154" s="190"/>
      <c r="F154" s="140"/>
      <c r="G154" s="191" t="s">
        <v>281</v>
      </c>
      <c r="H154" s="191" t="s">
        <v>281</v>
      </c>
      <c r="I154" s="124"/>
      <c r="J154" s="124"/>
      <c r="K154" s="124"/>
      <c r="L154" s="124"/>
    </row>
    <row r="155" spans="2:12">
      <c r="D155" s="192" t="s">
        <v>137</v>
      </c>
      <c r="E155" s="192"/>
      <c r="F155" s="193"/>
      <c r="G155" s="193"/>
      <c r="H155" s="193"/>
    </row>
    <row r="156" spans="2:12">
      <c r="D156" s="190" t="s">
        <v>282</v>
      </c>
      <c r="E156" s="190"/>
      <c r="F156" s="194">
        <v>-0.05</v>
      </c>
      <c r="G156" s="195">
        <v>-0.1</v>
      </c>
      <c r="H156" s="195">
        <v>0</v>
      </c>
    </row>
    <row r="157" spans="2:12">
      <c r="D157" s="190" t="s">
        <v>283</v>
      </c>
      <c r="E157" s="190"/>
      <c r="F157" s="196">
        <v>8.6999999999999994E-3</v>
      </c>
      <c r="G157" s="197">
        <v>7.0000000000000001E-3</v>
      </c>
      <c r="H157" s="197">
        <v>1.4999999999999999E-2</v>
      </c>
    </row>
    <row r="158" spans="2:12">
      <c r="D158" s="190" t="s">
        <v>284</v>
      </c>
      <c r="E158" s="190"/>
      <c r="F158" s="198">
        <v>10</v>
      </c>
      <c r="G158" s="199">
        <v>8</v>
      </c>
      <c r="H158" s="199">
        <v>13</v>
      </c>
    </row>
    <row r="159" spans="2:12">
      <c r="D159" s="190" t="s">
        <v>285</v>
      </c>
      <c r="E159" s="190"/>
      <c r="F159" s="196">
        <v>5.7700000000000001E-2</v>
      </c>
      <c r="G159" s="197">
        <v>6.5000000000000002E-2</v>
      </c>
      <c r="H159" s="197">
        <v>0.05</v>
      </c>
    </row>
    <row r="160" spans="2:12">
      <c r="D160" s="190" t="s">
        <v>78</v>
      </c>
      <c r="E160" s="190"/>
      <c r="F160" s="200">
        <v>0.92329196246247203</v>
      </c>
      <c r="G160" s="201">
        <v>1.2</v>
      </c>
      <c r="H160" s="201">
        <v>0.85</v>
      </c>
    </row>
    <row r="161" spans="4:8">
      <c r="D161" s="192" t="s">
        <v>138</v>
      </c>
      <c r="E161" s="192"/>
      <c r="F161" s="193"/>
      <c r="G161" s="193"/>
      <c r="H161" s="193"/>
    </row>
    <row r="162" spans="4:8">
      <c r="D162" s="190" t="s">
        <v>286</v>
      </c>
      <c r="E162" s="190"/>
      <c r="F162" s="202">
        <v>36.6972549178167</v>
      </c>
      <c r="G162" s="202">
        <v>21.1345505657115</v>
      </c>
      <c r="H162" s="202">
        <v>59.082490015819999</v>
      </c>
    </row>
    <row r="163" spans="4:8" ht="14.5" thickBot="1">
      <c r="D163" s="190" t="s">
        <v>287</v>
      </c>
      <c r="E163" s="203"/>
      <c r="F163" s="204">
        <v>37.233343909916897</v>
      </c>
      <c r="G163" s="204">
        <v>24.6489558812365</v>
      </c>
      <c r="H163" s="204">
        <v>53.283703821469999</v>
      </c>
    </row>
  </sheetData>
  <scenarios current="0" sqref="H53 N53">
    <scenario name="Worst_Case" locked="1" count="5" user="David Moore" comment="Created by David Moore on 3/25/2020">
      <inputCells r="K31" val="-0.1" numFmtId="174"/>
      <inputCells r="H43" val="0.007" numFmtId="170"/>
      <inputCells r="N43" val="8" numFmtId="175"/>
      <inputCells r="F115" val="0.065" numFmtId="170"/>
      <inputCells r="F116" val="1.2" numFmtId="39"/>
    </scenario>
    <scenario name="Best_Case" locked="1" count="5" user="David Moore" comment="Created by David Moore on 3/25/2020">
      <inputCells r="K31" val="0" numFmtId="174"/>
      <inputCells r="H43" val="0.015" numFmtId="170"/>
      <inputCells r="N43" val="13" numFmtId="175"/>
      <inputCells r="F115" val="0.05" numFmtId="170"/>
      <inputCells r="F116" val="0.85" numFmtId="39"/>
    </scenario>
  </scenarios>
  <conditionalFormatting sqref="D142:L147">
    <cfRule type="colorScale" priority="1">
      <colorScale>
        <cfvo type="num" val="10"/>
        <cfvo type="num" val="21.33"/>
        <cfvo type="num" val="100"/>
        <color rgb="FFF8696B"/>
        <color rgb="FFFFEB84"/>
        <color rgb="FF63BE7B"/>
      </colorScale>
    </cfRule>
  </conditionalFormatting>
  <pageMargins left="0.7" right="0.7" top="0.75" bottom="0.75" header="0.3" footer="0.3"/>
  <pageSetup orientation="portrait" verticalDpi="9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29A07-0491-4985-A0BD-F6B442349870}">
  <sheetPr codeName="Sheet2"/>
  <dimension ref="A1:G47"/>
  <sheetViews>
    <sheetView topLeftCell="A2" workbookViewId="0">
      <selection activeCell="C12" sqref="C12"/>
    </sheetView>
  </sheetViews>
  <sheetFormatPr defaultRowHeight="12.5"/>
  <cols>
    <col min="1" max="1" width="50" style="206" customWidth="1"/>
    <col min="2" max="2" width="12.26953125" style="206" bestFit="1" customWidth="1"/>
    <col min="3" max="3" width="12.6328125" style="206" bestFit="1" customWidth="1"/>
    <col min="4" max="6" width="12.26953125" style="206" bestFit="1" customWidth="1"/>
    <col min="7" max="196" width="12" style="206" customWidth="1"/>
    <col min="197" max="16384" width="8.7265625" style="206"/>
  </cols>
  <sheetData>
    <row r="1" spans="1:7" ht="20">
      <c r="A1" s="205" t="s">
        <v>288</v>
      </c>
    </row>
    <row r="3" spans="1:7">
      <c r="A3" s="207" t="s">
        <v>289</v>
      </c>
    </row>
    <row r="6" spans="1:7" ht="13">
      <c r="A6" s="208" t="s">
        <v>290</v>
      </c>
      <c r="B6" s="206">
        <f>YEAR(B7)</f>
        <v>2019</v>
      </c>
      <c r="C6" s="206">
        <f t="shared" ref="C6:F6" si="0">YEAR(C7)</f>
        <v>2018</v>
      </c>
      <c r="D6" s="206">
        <f t="shared" si="0"/>
        <v>2017</v>
      </c>
      <c r="E6" s="206">
        <f t="shared" si="0"/>
        <v>2016</v>
      </c>
      <c r="F6" s="206">
        <f t="shared" si="0"/>
        <v>2015</v>
      </c>
    </row>
    <row r="7" spans="1:7" ht="13">
      <c r="A7" s="209" t="s">
        <v>291</v>
      </c>
      <c r="B7" s="210" t="s">
        <v>292</v>
      </c>
      <c r="C7" s="210" t="s">
        <v>293</v>
      </c>
      <c r="D7" s="210" t="s">
        <v>294</v>
      </c>
      <c r="E7" s="210" t="s">
        <v>295</v>
      </c>
      <c r="F7" s="210" t="s">
        <v>296</v>
      </c>
      <c r="G7" s="209"/>
    </row>
    <row r="8" spans="1:7" ht="13">
      <c r="A8" s="209" t="s">
        <v>297</v>
      </c>
      <c r="B8" s="210" t="s">
        <v>298</v>
      </c>
      <c r="C8" s="210" t="s">
        <v>298</v>
      </c>
      <c r="D8" s="210" t="s">
        <v>298</v>
      </c>
      <c r="E8" s="210" t="s">
        <v>298</v>
      </c>
      <c r="F8" s="210" t="s">
        <v>298</v>
      </c>
      <c r="G8" s="209"/>
    </row>
    <row r="9" spans="1:7" ht="13">
      <c r="A9" s="209" t="s">
        <v>299</v>
      </c>
      <c r="B9" s="210" t="s">
        <v>300</v>
      </c>
      <c r="C9" s="210" t="s">
        <v>301</v>
      </c>
      <c r="D9" s="210" t="s">
        <v>300</v>
      </c>
      <c r="E9" s="210" t="s">
        <v>300</v>
      </c>
      <c r="F9" s="210" t="s">
        <v>300</v>
      </c>
      <c r="G9" s="209"/>
    </row>
    <row r="10" spans="1:7" ht="13">
      <c r="A10" s="209" t="s">
        <v>302</v>
      </c>
      <c r="B10" s="210" t="s">
        <v>250</v>
      </c>
      <c r="C10" s="210" t="s">
        <v>250</v>
      </c>
      <c r="D10" s="210" t="s">
        <v>250</v>
      </c>
      <c r="E10" s="210" t="s">
        <v>250</v>
      </c>
      <c r="F10" s="210" t="s">
        <v>250</v>
      </c>
      <c r="G10" s="209"/>
    </row>
    <row r="11" spans="1:7" ht="13">
      <c r="A11" s="209" t="s">
        <v>303</v>
      </c>
      <c r="B11" s="210" t="s">
        <v>304</v>
      </c>
      <c r="C11" s="210" t="s">
        <v>304</v>
      </c>
      <c r="D11" s="210" t="s">
        <v>304</v>
      </c>
      <c r="E11" s="210" t="s">
        <v>304</v>
      </c>
      <c r="F11" s="210" t="s">
        <v>304</v>
      </c>
      <c r="G11" s="209"/>
    </row>
    <row r="12" spans="1:7">
      <c r="A12" s="211" t="s">
        <v>42</v>
      </c>
      <c r="B12" s="212">
        <v>913734</v>
      </c>
      <c r="C12" s="212">
        <v>778833</v>
      </c>
      <c r="D12" s="212">
        <v>639239</v>
      </c>
      <c r="E12" s="212">
        <v>818914</v>
      </c>
      <c r="F12" s="212">
        <v>468946</v>
      </c>
      <c r="G12" s="211"/>
    </row>
    <row r="13" spans="1:7">
      <c r="A13" s="211" t="s">
        <v>41</v>
      </c>
      <c r="B13" s="212">
        <v>438420</v>
      </c>
      <c r="C13" s="212">
        <v>395705</v>
      </c>
      <c r="D13" s="212">
        <v>344638</v>
      </c>
      <c r="E13" s="212">
        <v>404953</v>
      </c>
      <c r="F13" s="212">
        <v>250245</v>
      </c>
      <c r="G13" s="211"/>
    </row>
    <row r="14" spans="1:7">
      <c r="A14" s="211" t="s">
        <v>305</v>
      </c>
      <c r="B14" s="212">
        <v>475314</v>
      </c>
      <c r="C14" s="212">
        <v>383128</v>
      </c>
      <c r="D14" s="212">
        <v>294601</v>
      </c>
      <c r="E14" s="212">
        <v>413961</v>
      </c>
      <c r="F14" s="212">
        <v>218701</v>
      </c>
      <c r="G14" s="211"/>
    </row>
    <row r="15" spans="1:7">
      <c r="A15" s="211" t="s">
        <v>261</v>
      </c>
      <c r="B15" s="212">
        <v>385543</v>
      </c>
      <c r="C15" s="212">
        <v>280972</v>
      </c>
      <c r="D15" s="212">
        <v>230634</v>
      </c>
      <c r="E15" s="212">
        <v>325754</v>
      </c>
      <c r="F15" s="212">
        <v>90791</v>
      </c>
      <c r="G15" s="211"/>
    </row>
    <row r="16" spans="1:7">
      <c r="A16" s="211" t="s">
        <v>306</v>
      </c>
      <c r="B16" s="212">
        <v>89771</v>
      </c>
      <c r="C16" s="212">
        <v>102156</v>
      </c>
      <c r="D16" s="212">
        <v>63967</v>
      </c>
      <c r="E16" s="212">
        <v>88207</v>
      </c>
      <c r="F16" s="212">
        <v>127910</v>
      </c>
      <c r="G16" s="211"/>
    </row>
    <row r="17" spans="1:7">
      <c r="A17" s="211" t="s">
        <v>307</v>
      </c>
      <c r="B17" s="212">
        <v>21779</v>
      </c>
      <c r="C17" s="212">
        <v>31280</v>
      </c>
      <c r="D17" s="212">
        <v>32607</v>
      </c>
      <c r="E17" s="212">
        <v>21680</v>
      </c>
      <c r="F17" s="212">
        <v>6075</v>
      </c>
      <c r="G17" s="211"/>
    </row>
    <row r="18" spans="1:7">
      <c r="A18" s="211" t="s">
        <v>308</v>
      </c>
      <c r="B18" s="212">
        <v>-734</v>
      </c>
      <c r="C18" s="212">
        <v>-1261</v>
      </c>
      <c r="D18" s="212">
        <v>699</v>
      </c>
      <c r="E18" s="212">
        <v>-1242</v>
      </c>
      <c r="F18" s="212">
        <v>-6474</v>
      </c>
      <c r="G18" s="211"/>
    </row>
    <row r="19" spans="1:7">
      <c r="A19" s="211" t="s">
        <v>309</v>
      </c>
      <c r="B19" s="212">
        <v>65469</v>
      </c>
      <c r="C19" s="212">
        <v>69209</v>
      </c>
      <c r="D19" s="213" t="s">
        <v>310</v>
      </c>
      <c r="E19" s="213" t="s">
        <v>310</v>
      </c>
      <c r="F19" s="213" t="s">
        <v>310</v>
      </c>
      <c r="G19" s="211"/>
    </row>
    <row r="20" spans="1:7">
      <c r="A20" s="211" t="s">
        <v>311</v>
      </c>
      <c r="B20" s="212">
        <v>1789</v>
      </c>
      <c r="C20" s="212">
        <v>406</v>
      </c>
      <c r="D20" s="213" t="s">
        <v>310</v>
      </c>
      <c r="E20" s="213" t="s">
        <v>310</v>
      </c>
      <c r="F20" s="213" t="s">
        <v>310</v>
      </c>
      <c r="G20" s="211"/>
    </row>
    <row r="21" spans="1:7">
      <c r="A21" s="211" t="s">
        <v>312</v>
      </c>
      <c r="B21" s="212">
        <v>67258</v>
      </c>
      <c r="C21" s="212">
        <v>69615</v>
      </c>
      <c r="D21" s="212">
        <v>32059</v>
      </c>
      <c r="E21" s="212">
        <v>65285</v>
      </c>
      <c r="F21" s="212">
        <v>115361</v>
      </c>
      <c r="G21" s="211"/>
    </row>
    <row r="22" spans="1:7">
      <c r="A22" s="211" t="s">
        <v>313</v>
      </c>
      <c r="B22" s="212">
        <v>627</v>
      </c>
      <c r="C22" s="212">
        <v>7190</v>
      </c>
      <c r="D22" s="212">
        <v>7440</v>
      </c>
      <c r="E22" s="212">
        <v>37406</v>
      </c>
      <c r="F22" s="212">
        <v>41767</v>
      </c>
      <c r="G22" s="211"/>
    </row>
    <row r="23" spans="1:7">
      <c r="A23" s="211" t="s">
        <v>314</v>
      </c>
      <c r="B23" s="212">
        <v>1505</v>
      </c>
      <c r="C23" s="212">
        <v>2316</v>
      </c>
      <c r="D23" s="212">
        <v>379</v>
      </c>
      <c r="E23" s="212">
        <v>17</v>
      </c>
      <c r="F23" s="212">
        <v>1036</v>
      </c>
      <c r="G23" s="211"/>
    </row>
    <row r="24" spans="1:7">
      <c r="A24" s="211" t="s">
        <v>315</v>
      </c>
      <c r="B24" s="212">
        <v>526</v>
      </c>
      <c r="C24" s="212">
        <v>247</v>
      </c>
      <c r="D24" s="212">
        <v>46</v>
      </c>
      <c r="E24" s="213" t="s">
        <v>310</v>
      </c>
      <c r="F24" s="213" t="s">
        <v>310</v>
      </c>
      <c r="G24" s="211"/>
    </row>
    <row r="25" spans="1:7">
      <c r="A25" s="211" t="s">
        <v>316</v>
      </c>
      <c r="B25" s="212">
        <v>2658</v>
      </c>
      <c r="C25" s="212">
        <v>9753</v>
      </c>
      <c r="D25" s="212">
        <v>7865</v>
      </c>
      <c r="E25" s="212">
        <v>37423</v>
      </c>
      <c r="F25" s="212">
        <v>42803</v>
      </c>
      <c r="G25" s="211"/>
    </row>
    <row r="26" spans="1:7">
      <c r="A26" s="211" t="s">
        <v>317</v>
      </c>
      <c r="B26" s="212">
        <v>12911</v>
      </c>
      <c r="C26" s="212">
        <v>3298</v>
      </c>
      <c r="D26" s="212">
        <v>8915</v>
      </c>
      <c r="E26" s="212">
        <v>-19960</v>
      </c>
      <c r="F26" s="212">
        <v>-1554</v>
      </c>
      <c r="G26" s="211"/>
    </row>
    <row r="27" spans="1:7">
      <c r="A27" s="211" t="s">
        <v>318</v>
      </c>
      <c r="B27" s="212">
        <v>1304</v>
      </c>
      <c r="C27" s="212">
        <v>-1172</v>
      </c>
      <c r="D27" s="212">
        <v>-114</v>
      </c>
      <c r="E27" s="212">
        <v>-966</v>
      </c>
      <c r="F27" s="212">
        <v>-110</v>
      </c>
      <c r="G27" s="211"/>
    </row>
    <row r="28" spans="1:7">
      <c r="A28" s="211" t="s">
        <v>319</v>
      </c>
      <c r="B28" s="212">
        <v>-49</v>
      </c>
      <c r="C28" s="212">
        <v>-27</v>
      </c>
      <c r="D28" s="212">
        <v>-8</v>
      </c>
      <c r="E28" s="213" t="s">
        <v>310</v>
      </c>
      <c r="F28" s="213" t="s">
        <v>310</v>
      </c>
      <c r="G28" s="211"/>
    </row>
    <row r="29" spans="1:7">
      <c r="A29" s="211" t="s">
        <v>48</v>
      </c>
      <c r="B29" s="212">
        <v>14166</v>
      </c>
      <c r="C29" s="212">
        <v>2099</v>
      </c>
      <c r="D29" s="212">
        <v>8793</v>
      </c>
      <c r="E29" s="212">
        <v>-20926</v>
      </c>
      <c r="F29" s="212">
        <v>-1664</v>
      </c>
      <c r="G29" s="211"/>
    </row>
    <row r="30" spans="1:7">
      <c r="A30" s="211" t="s">
        <v>320</v>
      </c>
      <c r="B30" s="212">
        <v>16824</v>
      </c>
      <c r="C30" s="212">
        <v>11852</v>
      </c>
      <c r="D30" s="212">
        <v>16658</v>
      </c>
      <c r="E30" s="212">
        <v>16497</v>
      </c>
      <c r="F30" s="212">
        <v>41139</v>
      </c>
      <c r="G30" s="211"/>
    </row>
    <row r="31" spans="1:7">
      <c r="A31" s="211" t="s">
        <v>321</v>
      </c>
      <c r="B31" s="212">
        <v>50434</v>
      </c>
      <c r="C31" s="212">
        <v>57763</v>
      </c>
      <c r="D31" s="212">
        <v>15401</v>
      </c>
      <c r="E31" s="212">
        <v>48788</v>
      </c>
      <c r="F31" s="212">
        <v>74222</v>
      </c>
      <c r="G31" s="211"/>
    </row>
    <row r="32" spans="1:7">
      <c r="A32" s="211" t="s">
        <v>322</v>
      </c>
      <c r="B32" s="213" t="s">
        <v>310</v>
      </c>
      <c r="C32" s="213" t="s">
        <v>310</v>
      </c>
      <c r="D32" s="213" t="s">
        <v>310</v>
      </c>
      <c r="E32" s="212">
        <v>-811</v>
      </c>
      <c r="F32" s="213" t="s">
        <v>310</v>
      </c>
      <c r="G32" s="211"/>
    </row>
    <row r="33" spans="1:7">
      <c r="A33" s="211" t="s">
        <v>323</v>
      </c>
      <c r="B33" s="213" t="s">
        <v>310</v>
      </c>
      <c r="C33" s="212">
        <v>57763</v>
      </c>
      <c r="D33" s="212">
        <v>15401</v>
      </c>
      <c r="E33" s="212">
        <v>47977</v>
      </c>
      <c r="F33" s="212">
        <v>74222</v>
      </c>
      <c r="G33" s="211"/>
    </row>
    <row r="34" spans="1:7">
      <c r="A34" s="211" t="s">
        <v>324</v>
      </c>
      <c r="B34" s="212">
        <v>85088</v>
      </c>
      <c r="C34" s="212">
        <v>81777</v>
      </c>
      <c r="D34" s="212">
        <v>81479</v>
      </c>
      <c r="E34" s="212">
        <v>81097</v>
      </c>
      <c r="F34" s="212">
        <v>79775</v>
      </c>
      <c r="G34" s="211"/>
    </row>
    <row r="35" spans="1:7">
      <c r="A35" s="211" t="s">
        <v>325</v>
      </c>
      <c r="B35" s="212">
        <v>86347</v>
      </c>
      <c r="C35" s="212">
        <v>83519</v>
      </c>
      <c r="D35" s="212">
        <v>82972</v>
      </c>
      <c r="E35" s="212">
        <v>82755</v>
      </c>
      <c r="F35" s="212">
        <v>80665</v>
      </c>
      <c r="G35" s="211"/>
    </row>
    <row r="36" spans="1:7">
      <c r="A36" s="211" t="s">
        <v>44</v>
      </c>
      <c r="B36" s="212">
        <v>86774</v>
      </c>
      <c r="C36" s="212">
        <v>84196</v>
      </c>
      <c r="D36" s="212">
        <v>81535</v>
      </c>
      <c r="E36" s="212">
        <v>81437</v>
      </c>
      <c r="F36" s="212">
        <v>80020</v>
      </c>
      <c r="G36" s="211"/>
    </row>
    <row r="37" spans="1:7">
      <c r="A37" s="211" t="s">
        <v>326</v>
      </c>
      <c r="B37" s="214">
        <v>0.59</v>
      </c>
      <c r="C37" s="214">
        <v>0.71</v>
      </c>
      <c r="D37" s="214">
        <v>0.19</v>
      </c>
      <c r="E37" s="214">
        <v>0.59</v>
      </c>
      <c r="F37" s="214">
        <v>0.93</v>
      </c>
      <c r="G37" s="211"/>
    </row>
    <row r="38" spans="1:7">
      <c r="A38" s="211" t="s">
        <v>327</v>
      </c>
      <c r="B38" s="214">
        <v>0.57999999999999996</v>
      </c>
      <c r="C38" s="214">
        <v>0.69</v>
      </c>
      <c r="D38" s="214">
        <v>0.19</v>
      </c>
      <c r="E38" s="214">
        <v>0.57999999999999996</v>
      </c>
      <c r="F38" s="214">
        <v>0.92</v>
      </c>
      <c r="G38" s="211"/>
    </row>
    <row r="39" spans="1:7">
      <c r="A39" s="211" t="s">
        <v>328</v>
      </c>
      <c r="B39" s="212">
        <v>790</v>
      </c>
      <c r="C39" s="212">
        <v>647</v>
      </c>
      <c r="D39" s="212">
        <v>565</v>
      </c>
      <c r="E39" s="213" t="s">
        <v>310</v>
      </c>
      <c r="F39" s="213" t="s">
        <v>310</v>
      </c>
      <c r="G39" s="211"/>
    </row>
    <row r="40" spans="1:7">
      <c r="A40" s="211" t="s">
        <v>329</v>
      </c>
      <c r="B40" s="212">
        <v>32</v>
      </c>
      <c r="C40" s="212">
        <v>26</v>
      </c>
      <c r="D40" s="212">
        <v>27</v>
      </c>
      <c r="E40" s="213" t="s">
        <v>310</v>
      </c>
      <c r="F40" s="213" t="s">
        <v>310</v>
      </c>
      <c r="G40" s="211"/>
    </row>
    <row r="41" spans="1:7">
      <c r="A41" s="211" t="s">
        <v>330</v>
      </c>
      <c r="B41" s="212">
        <v>98</v>
      </c>
      <c r="C41" s="212">
        <v>-137</v>
      </c>
      <c r="D41" s="213" t="s">
        <v>310</v>
      </c>
      <c r="E41" s="213" t="s">
        <v>310</v>
      </c>
      <c r="F41" s="213" t="s">
        <v>310</v>
      </c>
      <c r="G41" s="211"/>
    </row>
    <row r="44" spans="1:7" ht="14">
      <c r="A44" s="147" t="s">
        <v>36</v>
      </c>
      <c r="B44" s="212">
        <v>28959</v>
      </c>
      <c r="C44" s="212">
        <v>24777</v>
      </c>
      <c r="D44" s="212">
        <v>20769</v>
      </c>
      <c r="E44" s="212">
        <v>11670</v>
      </c>
      <c r="F44" s="212">
        <v>7531</v>
      </c>
    </row>
    <row r="45" spans="1:7" ht="14">
      <c r="A45" s="147" t="s">
        <v>35</v>
      </c>
      <c r="B45" s="212">
        <v>-48691</v>
      </c>
      <c r="C45" s="212">
        <v>-31887</v>
      </c>
      <c r="D45" s="212">
        <v>-37271</v>
      </c>
      <c r="E45" s="212">
        <v>-60296</v>
      </c>
      <c r="F45" s="212">
        <v>-10902</v>
      </c>
    </row>
    <row r="46" spans="1:7">
      <c r="B46" s="212"/>
      <c r="C46" s="212"/>
      <c r="D46" s="212"/>
      <c r="E46" s="212"/>
      <c r="F46" s="212"/>
    </row>
    <row r="47" spans="1:7">
      <c r="B47" s="212"/>
      <c r="C47" s="212"/>
      <c r="D47" s="212"/>
      <c r="E47" s="212"/>
      <c r="F47" s="212"/>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D828-3727-48A1-8074-3910C8080B41}">
  <sheetPr codeName="Sheet3"/>
  <dimension ref="A1:F69"/>
  <sheetViews>
    <sheetView workbookViewId="0">
      <selection activeCell="C12" sqref="C12"/>
    </sheetView>
  </sheetViews>
  <sheetFormatPr defaultRowHeight="12.5"/>
  <cols>
    <col min="1" max="1" width="30" style="206" customWidth="1"/>
    <col min="2" max="2" width="12.26953125" style="206" bestFit="1" customWidth="1"/>
    <col min="3" max="3" width="12.6328125" style="206" bestFit="1" customWidth="1"/>
    <col min="4" max="5" width="12.26953125" style="206" bestFit="1" customWidth="1"/>
    <col min="6" max="16384" width="8.7265625" style="206"/>
  </cols>
  <sheetData>
    <row r="1" spans="1:6" ht="20">
      <c r="A1" s="205" t="s">
        <v>288</v>
      </c>
    </row>
    <row r="3" spans="1:6" ht="25">
      <c r="A3" s="207" t="s">
        <v>289</v>
      </c>
    </row>
    <row r="6" spans="1:6" ht="26">
      <c r="A6" s="208" t="s">
        <v>331</v>
      </c>
      <c r="B6" s="206">
        <f>YEAR(B7)</f>
        <v>2019</v>
      </c>
      <c r="C6" s="206">
        <f t="shared" ref="C6:E6" si="0">YEAR(C7)</f>
        <v>2018</v>
      </c>
      <c r="D6" s="206">
        <f t="shared" si="0"/>
        <v>2017</v>
      </c>
      <c r="E6" s="206">
        <f t="shared" si="0"/>
        <v>2016</v>
      </c>
    </row>
    <row r="7" spans="1:6" ht="13">
      <c r="A7" s="209" t="s">
        <v>291</v>
      </c>
      <c r="B7" s="210" t="s">
        <v>292</v>
      </c>
      <c r="C7" s="210" t="s">
        <v>293</v>
      </c>
      <c r="D7" s="210" t="s">
        <v>294</v>
      </c>
      <c r="E7" s="210" t="s">
        <v>295</v>
      </c>
      <c r="F7" s="209"/>
    </row>
    <row r="8" spans="1:6" ht="13">
      <c r="A8" s="209" t="s">
        <v>297</v>
      </c>
      <c r="B8" s="210" t="s">
        <v>298</v>
      </c>
      <c r="C8" s="210" t="s">
        <v>298</v>
      </c>
      <c r="D8" s="210" t="s">
        <v>298</v>
      </c>
      <c r="E8" s="210" t="s">
        <v>298</v>
      </c>
      <c r="F8" s="209"/>
    </row>
    <row r="9" spans="1:6" ht="13">
      <c r="A9" s="209" t="s">
        <v>299</v>
      </c>
      <c r="B9" s="210" t="s">
        <v>300</v>
      </c>
      <c r="C9" s="210" t="s">
        <v>301</v>
      </c>
      <c r="D9" s="210" t="s">
        <v>300</v>
      </c>
      <c r="E9" s="210" t="s">
        <v>300</v>
      </c>
      <c r="F9" s="209"/>
    </row>
    <row r="10" spans="1:6" ht="13">
      <c r="A10" s="209" t="s">
        <v>302</v>
      </c>
      <c r="B10" s="210" t="s">
        <v>250</v>
      </c>
      <c r="C10" s="210" t="s">
        <v>250</v>
      </c>
      <c r="D10" s="210" t="s">
        <v>250</v>
      </c>
      <c r="E10" s="210" t="s">
        <v>250</v>
      </c>
      <c r="F10" s="209"/>
    </row>
    <row r="11" spans="1:6" ht="13">
      <c r="A11" s="209" t="s">
        <v>303</v>
      </c>
      <c r="B11" s="210" t="s">
        <v>304</v>
      </c>
      <c r="C11" s="210" t="s">
        <v>304</v>
      </c>
      <c r="D11" s="210" t="s">
        <v>304</v>
      </c>
      <c r="E11" s="210" t="s">
        <v>304</v>
      </c>
      <c r="F11" s="209"/>
    </row>
    <row r="12" spans="1:6">
      <c r="A12" s="211" t="s">
        <v>262</v>
      </c>
      <c r="B12" s="212">
        <v>72515</v>
      </c>
      <c r="C12" s="212">
        <v>80051</v>
      </c>
      <c r="D12" s="212">
        <v>53650</v>
      </c>
      <c r="E12" s="212">
        <v>21291</v>
      </c>
      <c r="F12" s="211"/>
    </row>
    <row r="13" spans="1:6">
      <c r="A13" s="211" t="s">
        <v>332</v>
      </c>
      <c r="B13" s="212">
        <v>82688</v>
      </c>
      <c r="C13" s="212">
        <v>59428</v>
      </c>
      <c r="D13" s="212">
        <v>67252</v>
      </c>
      <c r="E13" s="212">
        <v>37704</v>
      </c>
      <c r="F13" s="211"/>
    </row>
    <row r="14" spans="1:6">
      <c r="A14" s="211" t="s">
        <v>333</v>
      </c>
      <c r="B14" s="212">
        <v>0</v>
      </c>
      <c r="C14" s="212">
        <v>100</v>
      </c>
      <c r="D14" s="212">
        <v>100</v>
      </c>
      <c r="E14" s="212">
        <v>500</v>
      </c>
      <c r="F14" s="211"/>
    </row>
    <row r="15" spans="1:6">
      <c r="A15" s="211" t="s">
        <v>334</v>
      </c>
      <c r="B15" s="212">
        <v>82688</v>
      </c>
      <c r="C15" s="212">
        <v>59328</v>
      </c>
      <c r="D15" s="212">
        <v>67152</v>
      </c>
      <c r="E15" s="212">
        <v>37204</v>
      </c>
      <c r="F15" s="211"/>
    </row>
    <row r="16" spans="1:6">
      <c r="A16" s="211" t="s">
        <v>335</v>
      </c>
      <c r="B16" s="212">
        <v>185700</v>
      </c>
      <c r="C16" s="212">
        <v>145423</v>
      </c>
      <c r="D16" s="212">
        <v>175098</v>
      </c>
      <c r="E16" s="212">
        <v>246119</v>
      </c>
      <c r="F16" s="211"/>
    </row>
    <row r="17" spans="1:6">
      <c r="A17" s="211" t="s">
        <v>336</v>
      </c>
      <c r="B17" s="213" t="s">
        <v>310</v>
      </c>
      <c r="C17" s="213" t="s">
        <v>310</v>
      </c>
      <c r="D17" s="212">
        <v>170</v>
      </c>
      <c r="E17" s="212">
        <v>16234</v>
      </c>
      <c r="F17" s="211"/>
    </row>
    <row r="18" spans="1:6">
      <c r="A18" s="211" t="s">
        <v>47</v>
      </c>
      <c r="B18" s="212">
        <v>19644</v>
      </c>
      <c r="C18" s="212">
        <v>12211</v>
      </c>
      <c r="D18" s="212">
        <v>6964</v>
      </c>
      <c r="E18" s="212">
        <v>10162</v>
      </c>
      <c r="F18" s="211"/>
    </row>
    <row r="19" spans="1:6">
      <c r="A19" s="211" t="s">
        <v>14</v>
      </c>
      <c r="B19" s="212">
        <v>360547</v>
      </c>
      <c r="C19" s="212">
        <v>297013</v>
      </c>
      <c r="D19" s="212">
        <v>303034</v>
      </c>
      <c r="E19" s="212">
        <v>331010</v>
      </c>
      <c r="F19" s="211"/>
    </row>
    <row r="20" spans="1:6">
      <c r="A20" s="211" t="s">
        <v>337</v>
      </c>
      <c r="B20" s="212">
        <v>56375</v>
      </c>
      <c r="C20" s="212">
        <v>45614</v>
      </c>
      <c r="D20" s="212">
        <v>41188</v>
      </c>
      <c r="E20" s="212">
        <v>22766</v>
      </c>
      <c r="F20" s="211"/>
    </row>
    <row r="21" spans="1:6">
      <c r="A21" s="211" t="s">
        <v>338</v>
      </c>
      <c r="B21" s="212">
        <v>7721</v>
      </c>
      <c r="C21" s="212">
        <v>5752</v>
      </c>
      <c r="D21" s="212">
        <v>5590</v>
      </c>
      <c r="E21" s="212">
        <v>8378</v>
      </c>
      <c r="F21" s="211"/>
    </row>
    <row r="22" spans="1:6">
      <c r="A22" s="211" t="s">
        <v>339</v>
      </c>
      <c r="B22" s="212">
        <v>52930</v>
      </c>
      <c r="C22" s="212">
        <v>41209</v>
      </c>
      <c r="D22" s="212">
        <v>28774</v>
      </c>
      <c r="E22" s="212">
        <v>20207</v>
      </c>
      <c r="F22" s="211"/>
    </row>
    <row r="23" spans="1:6">
      <c r="A23" s="211" t="s">
        <v>340</v>
      </c>
      <c r="B23" s="212">
        <v>35419</v>
      </c>
      <c r="C23" s="212">
        <v>29079</v>
      </c>
      <c r="D23" s="212">
        <v>26154</v>
      </c>
      <c r="E23" s="212">
        <v>9182</v>
      </c>
      <c r="F23" s="211"/>
    </row>
    <row r="24" spans="1:6">
      <c r="A24" s="211" t="s">
        <v>341</v>
      </c>
      <c r="B24" s="212">
        <v>1208</v>
      </c>
      <c r="C24" s="213" t="s">
        <v>310</v>
      </c>
      <c r="D24" s="213" t="s">
        <v>310</v>
      </c>
      <c r="E24" s="213" t="s">
        <v>310</v>
      </c>
      <c r="F24" s="211"/>
    </row>
    <row r="25" spans="1:6">
      <c r="A25" s="211" t="s">
        <v>342</v>
      </c>
      <c r="B25" s="212">
        <v>153653</v>
      </c>
      <c r="C25" s="212">
        <v>121654</v>
      </c>
      <c r="D25" s="212">
        <v>101706</v>
      </c>
      <c r="E25" s="212">
        <v>60533</v>
      </c>
      <c r="F25" s="211"/>
    </row>
    <row r="26" spans="1:6">
      <c r="A26" s="211" t="s">
        <v>343</v>
      </c>
      <c r="B26" s="212">
        <v>71043</v>
      </c>
      <c r="C26" s="212">
        <v>47557</v>
      </c>
      <c r="D26" s="212">
        <v>27923</v>
      </c>
      <c r="E26" s="212">
        <v>13443</v>
      </c>
      <c r="F26" s="211"/>
    </row>
    <row r="27" spans="1:6">
      <c r="A27" s="211" t="s">
        <v>344</v>
      </c>
      <c r="B27" s="212">
        <v>82610</v>
      </c>
      <c r="C27" s="212">
        <v>74097</v>
      </c>
      <c r="D27" s="212">
        <v>73783</v>
      </c>
      <c r="E27" s="212">
        <v>47090</v>
      </c>
      <c r="F27" s="211"/>
    </row>
    <row r="28" spans="1:6">
      <c r="A28" s="211" t="s">
        <v>345</v>
      </c>
      <c r="B28" s="212">
        <v>37768</v>
      </c>
      <c r="C28" s="213" t="s">
        <v>310</v>
      </c>
      <c r="D28" s="213" t="s">
        <v>310</v>
      </c>
      <c r="E28" s="213" t="s">
        <v>310</v>
      </c>
      <c r="F28" s="211"/>
    </row>
    <row r="29" spans="1:6">
      <c r="A29" s="211" t="s">
        <v>56</v>
      </c>
      <c r="B29" s="212">
        <v>54293</v>
      </c>
      <c r="C29" s="212">
        <v>54293</v>
      </c>
      <c r="D29" s="212">
        <v>54293</v>
      </c>
      <c r="E29" s="212">
        <v>50683</v>
      </c>
      <c r="F29" s="211"/>
    </row>
    <row r="30" spans="1:6">
      <c r="A30" s="211" t="s">
        <v>55</v>
      </c>
      <c r="B30" s="212">
        <v>90850</v>
      </c>
      <c r="C30" s="212">
        <v>80019</v>
      </c>
      <c r="D30" s="212">
        <v>74302</v>
      </c>
      <c r="E30" s="212">
        <v>87781</v>
      </c>
      <c r="F30" s="211"/>
    </row>
    <row r="31" spans="1:6">
      <c r="A31" s="211" t="s">
        <v>48</v>
      </c>
      <c r="B31" s="212">
        <v>1082</v>
      </c>
      <c r="C31" s="212">
        <v>7777</v>
      </c>
      <c r="D31" s="212">
        <v>10004</v>
      </c>
      <c r="E31" s="212">
        <v>13377</v>
      </c>
      <c r="F31" s="211"/>
    </row>
    <row r="32" spans="1:6">
      <c r="A32" s="211" t="s">
        <v>346</v>
      </c>
      <c r="B32" s="212">
        <v>2389</v>
      </c>
      <c r="C32" s="212">
        <v>1014</v>
      </c>
      <c r="D32" s="212">
        <v>1011</v>
      </c>
      <c r="E32" s="212">
        <v>6166</v>
      </c>
      <c r="F32" s="211"/>
    </row>
    <row r="33" spans="1:6">
      <c r="A33" s="211" t="s">
        <v>54</v>
      </c>
      <c r="B33" s="212">
        <v>629539</v>
      </c>
      <c r="C33" s="212">
        <v>514213</v>
      </c>
      <c r="D33" s="212">
        <v>516427</v>
      </c>
      <c r="E33" s="212">
        <v>536107</v>
      </c>
      <c r="F33" s="211"/>
    </row>
    <row r="34" spans="1:6">
      <c r="A34" s="211" t="s">
        <v>46</v>
      </c>
      <c r="B34" s="212">
        <v>83823</v>
      </c>
      <c r="C34" s="212">
        <v>68737</v>
      </c>
      <c r="D34" s="212">
        <v>40342</v>
      </c>
      <c r="E34" s="212">
        <v>19379</v>
      </c>
      <c r="F34" s="211"/>
    </row>
    <row r="35" spans="1:6">
      <c r="A35" s="211" t="s">
        <v>347</v>
      </c>
      <c r="B35" s="212">
        <v>12454</v>
      </c>
      <c r="C35" s="213" t="s">
        <v>310</v>
      </c>
      <c r="D35" s="213" t="s">
        <v>310</v>
      </c>
      <c r="E35" s="213" t="s">
        <v>310</v>
      </c>
      <c r="F35" s="211"/>
    </row>
    <row r="36" spans="1:6">
      <c r="A36" s="211" t="s">
        <v>348</v>
      </c>
      <c r="B36" s="212">
        <v>4499</v>
      </c>
      <c r="C36" s="213" t="s">
        <v>310</v>
      </c>
      <c r="D36" s="213" t="s">
        <v>310</v>
      </c>
      <c r="E36" s="213" t="s">
        <v>310</v>
      </c>
      <c r="F36" s="211"/>
    </row>
    <row r="37" spans="1:6">
      <c r="A37" s="211" t="s">
        <v>349</v>
      </c>
      <c r="B37" s="212">
        <v>6976</v>
      </c>
      <c r="C37" s="213" t="s">
        <v>310</v>
      </c>
      <c r="D37" s="213" t="s">
        <v>310</v>
      </c>
      <c r="E37" s="213" t="s">
        <v>310</v>
      </c>
      <c r="F37" s="211"/>
    </row>
    <row r="38" spans="1:6">
      <c r="A38" s="211" t="s">
        <v>350</v>
      </c>
      <c r="B38" s="212">
        <v>3300</v>
      </c>
      <c r="C38" s="213" t="s">
        <v>310</v>
      </c>
      <c r="D38" s="213" t="s">
        <v>310</v>
      </c>
      <c r="E38" s="213" t="s">
        <v>310</v>
      </c>
      <c r="F38" s="211"/>
    </row>
    <row r="39" spans="1:6">
      <c r="A39" s="211" t="s">
        <v>351</v>
      </c>
      <c r="B39" s="212">
        <v>6584</v>
      </c>
      <c r="C39" s="213" t="s">
        <v>310</v>
      </c>
      <c r="D39" s="213" t="s">
        <v>310</v>
      </c>
      <c r="E39" s="213" t="s">
        <v>310</v>
      </c>
      <c r="F39" s="211"/>
    </row>
    <row r="40" spans="1:6">
      <c r="A40" s="211" t="s">
        <v>352</v>
      </c>
      <c r="B40" s="212">
        <v>420</v>
      </c>
      <c r="C40" s="213" t="s">
        <v>310</v>
      </c>
      <c r="D40" s="213" t="s">
        <v>310</v>
      </c>
      <c r="E40" s="213" t="s">
        <v>310</v>
      </c>
      <c r="F40" s="211"/>
    </row>
    <row r="41" spans="1:6">
      <c r="A41" s="211" t="s">
        <v>353</v>
      </c>
      <c r="B41" s="212">
        <v>7855</v>
      </c>
      <c r="C41" s="213" t="s">
        <v>310</v>
      </c>
      <c r="D41" s="213" t="s">
        <v>310</v>
      </c>
      <c r="E41" s="213" t="s">
        <v>310</v>
      </c>
      <c r="F41" s="211"/>
    </row>
    <row r="42" spans="1:6">
      <c r="A42" s="211" t="s">
        <v>354</v>
      </c>
      <c r="B42" s="212">
        <v>42088</v>
      </c>
      <c r="C42" s="212">
        <v>53022</v>
      </c>
      <c r="D42" s="213" t="s">
        <v>310</v>
      </c>
      <c r="E42" s="213" t="s">
        <v>310</v>
      </c>
      <c r="F42" s="211"/>
    </row>
    <row r="43" spans="1:6">
      <c r="A43" s="211" t="s">
        <v>355</v>
      </c>
      <c r="B43" s="213" t="s">
        <v>310</v>
      </c>
      <c r="C43" s="213" t="s">
        <v>310</v>
      </c>
      <c r="D43" s="212">
        <v>45702</v>
      </c>
      <c r="E43" s="212">
        <v>40705</v>
      </c>
      <c r="F43" s="211"/>
    </row>
    <row r="44" spans="1:6">
      <c r="A44" s="211" t="s">
        <v>356</v>
      </c>
      <c r="B44" s="212">
        <v>18119</v>
      </c>
      <c r="C44" s="212">
        <v>15551</v>
      </c>
      <c r="D44" s="212">
        <v>6364</v>
      </c>
      <c r="E44" s="212">
        <v>6918</v>
      </c>
      <c r="F44" s="211"/>
    </row>
    <row r="45" spans="1:6">
      <c r="A45" s="211" t="s">
        <v>264</v>
      </c>
      <c r="B45" s="212">
        <v>7768</v>
      </c>
      <c r="C45" s="213"/>
      <c r="D45" s="213"/>
      <c r="E45" s="213"/>
      <c r="F45" s="211"/>
    </row>
    <row r="46" spans="1:6">
      <c r="A46" s="211" t="s">
        <v>357</v>
      </c>
      <c r="B46" s="212">
        <v>3329</v>
      </c>
      <c r="C46" s="212">
        <v>6390</v>
      </c>
      <c r="D46" s="212">
        <v>12280</v>
      </c>
      <c r="E46" s="212">
        <v>25083</v>
      </c>
      <c r="F46" s="211"/>
    </row>
    <row r="47" spans="1:6">
      <c r="A47" s="211" t="s">
        <v>263</v>
      </c>
      <c r="B47" s="212">
        <v>15185</v>
      </c>
      <c r="C47" s="212">
        <v>43638</v>
      </c>
      <c r="D47" s="212">
        <v>47050</v>
      </c>
      <c r="E47" s="212">
        <v>45550</v>
      </c>
      <c r="F47" s="211"/>
    </row>
    <row r="48" spans="1:6">
      <c r="A48" s="211" t="s">
        <v>358</v>
      </c>
      <c r="B48" s="213" t="s">
        <v>310</v>
      </c>
      <c r="C48" s="213" t="s">
        <v>310</v>
      </c>
      <c r="D48" s="212">
        <v>160</v>
      </c>
      <c r="E48" s="212">
        <v>230</v>
      </c>
      <c r="F48" s="211"/>
    </row>
    <row r="49" spans="1:6">
      <c r="A49" s="211" t="s">
        <v>12</v>
      </c>
      <c r="B49" s="212">
        <v>170312</v>
      </c>
      <c r="C49" s="212">
        <v>187338</v>
      </c>
      <c r="D49" s="212">
        <v>151898</v>
      </c>
      <c r="E49" s="212">
        <v>137865</v>
      </c>
      <c r="F49" s="211"/>
    </row>
    <row r="50" spans="1:6">
      <c r="A50" s="211" t="s">
        <v>359</v>
      </c>
      <c r="B50" s="213" t="s">
        <v>310</v>
      </c>
      <c r="C50" s="213" t="s">
        <v>310</v>
      </c>
      <c r="D50" s="213" t="s">
        <v>310</v>
      </c>
      <c r="E50" s="212">
        <v>20000</v>
      </c>
      <c r="F50" s="211"/>
    </row>
    <row r="51" spans="1:6">
      <c r="A51" s="211" t="s">
        <v>360</v>
      </c>
      <c r="B51" s="212">
        <v>300000</v>
      </c>
      <c r="C51" s="212">
        <v>331388</v>
      </c>
      <c r="D51" s="212">
        <v>481675</v>
      </c>
      <c r="E51" s="212">
        <v>527225</v>
      </c>
      <c r="F51" s="211"/>
    </row>
    <row r="52" spans="1:6">
      <c r="A52" s="211" t="s">
        <v>361</v>
      </c>
      <c r="B52" s="212">
        <v>1135</v>
      </c>
      <c r="C52" s="213" t="s">
        <v>310</v>
      </c>
      <c r="D52" s="213" t="s">
        <v>310</v>
      </c>
      <c r="E52" s="213" t="s">
        <v>310</v>
      </c>
      <c r="F52" s="211"/>
    </row>
    <row r="53" spans="1:6">
      <c r="A53" s="211" t="s">
        <v>362</v>
      </c>
      <c r="B53" s="213" t="s">
        <v>310</v>
      </c>
      <c r="C53" s="212">
        <v>1500</v>
      </c>
      <c r="D53" s="212">
        <v>3000</v>
      </c>
      <c r="E53" s="213" t="s">
        <v>310</v>
      </c>
      <c r="F53" s="211"/>
    </row>
    <row r="54" spans="1:6">
      <c r="A54" s="211" t="s">
        <v>67</v>
      </c>
      <c r="B54" s="212">
        <v>301135</v>
      </c>
      <c r="C54" s="212">
        <v>332888</v>
      </c>
      <c r="D54" s="212">
        <v>484675</v>
      </c>
      <c r="E54" s="212">
        <v>547225</v>
      </c>
      <c r="F54" s="211"/>
    </row>
    <row r="55" spans="1:6">
      <c r="A55" s="211" t="s">
        <v>263</v>
      </c>
      <c r="B55" s="212">
        <v>15000</v>
      </c>
      <c r="C55" s="212">
        <v>43638</v>
      </c>
      <c r="D55" s="212">
        <v>47050</v>
      </c>
      <c r="E55" s="212">
        <v>45550</v>
      </c>
      <c r="F55" s="211"/>
    </row>
    <row r="56" spans="1:6">
      <c r="A56" s="211" t="s">
        <v>363</v>
      </c>
      <c r="B56" s="212">
        <v>185</v>
      </c>
      <c r="C56" s="213" t="s">
        <v>310</v>
      </c>
      <c r="D56" s="213" t="s">
        <v>310</v>
      </c>
      <c r="E56" s="213" t="s">
        <v>310</v>
      </c>
      <c r="F56" s="211"/>
    </row>
    <row r="57" spans="1:6">
      <c r="A57" s="211" t="s">
        <v>364</v>
      </c>
      <c r="B57" s="212">
        <v>285950</v>
      </c>
      <c r="C57" s="212">
        <v>289250</v>
      </c>
      <c r="D57" s="212">
        <v>437625</v>
      </c>
      <c r="E57" s="212">
        <v>501675</v>
      </c>
      <c r="F57" s="211"/>
    </row>
    <row r="58" spans="1:6">
      <c r="A58" s="211" t="s">
        <v>365</v>
      </c>
      <c r="B58" s="212">
        <v>-4235</v>
      </c>
      <c r="C58" s="212">
        <v>-4874</v>
      </c>
      <c r="D58" s="212">
        <v>-8993</v>
      </c>
      <c r="E58" s="212">
        <v>-9987</v>
      </c>
      <c r="F58" s="211"/>
    </row>
    <row r="59" spans="1:6">
      <c r="A59" s="211" t="s">
        <v>366</v>
      </c>
      <c r="B59" s="212">
        <v>281715</v>
      </c>
      <c r="C59" s="212">
        <v>284376</v>
      </c>
      <c r="D59" s="212">
        <v>428632</v>
      </c>
      <c r="E59" s="212">
        <v>491688</v>
      </c>
      <c r="F59" s="211"/>
    </row>
    <row r="60" spans="1:6">
      <c r="A60" s="211" t="s">
        <v>367</v>
      </c>
      <c r="B60" s="212">
        <v>42200</v>
      </c>
      <c r="C60" s="213" t="s">
        <v>310</v>
      </c>
      <c r="D60" s="213" t="s">
        <v>310</v>
      </c>
      <c r="E60" s="213" t="s">
        <v>310</v>
      </c>
      <c r="F60" s="211"/>
    </row>
    <row r="61" spans="1:6">
      <c r="A61" s="211" t="s">
        <v>368</v>
      </c>
      <c r="B61" s="212">
        <v>13307</v>
      </c>
      <c r="C61" s="212">
        <v>13528</v>
      </c>
      <c r="D61" s="212">
        <v>12128</v>
      </c>
      <c r="E61" s="212">
        <v>1655</v>
      </c>
      <c r="F61" s="211"/>
    </row>
    <row r="62" spans="1:6">
      <c r="A62" s="211" t="s">
        <v>53</v>
      </c>
      <c r="B62" s="212">
        <v>507534</v>
      </c>
      <c r="C62" s="212">
        <v>485242</v>
      </c>
      <c r="D62" s="212">
        <v>592658</v>
      </c>
      <c r="E62" s="212">
        <v>631208</v>
      </c>
      <c r="F62" s="211"/>
    </row>
    <row r="63" spans="1:6">
      <c r="A63" s="211" t="s">
        <v>52</v>
      </c>
      <c r="B63" s="212">
        <v>868</v>
      </c>
      <c r="C63" s="212">
        <v>842</v>
      </c>
      <c r="D63" s="212">
        <v>815</v>
      </c>
      <c r="E63" s="212">
        <v>814</v>
      </c>
      <c r="F63" s="211"/>
    </row>
    <row r="64" spans="1:6">
      <c r="A64" s="211" t="s">
        <v>51</v>
      </c>
      <c r="B64" s="212">
        <v>310678</v>
      </c>
      <c r="C64" s="212">
        <v>268327</v>
      </c>
      <c r="D64" s="212">
        <v>219095</v>
      </c>
      <c r="E64" s="212">
        <v>211474</v>
      </c>
      <c r="F64" s="211"/>
    </row>
    <row r="65" spans="1:6">
      <c r="A65" s="211" t="s">
        <v>50</v>
      </c>
      <c r="B65" s="212">
        <v>-189545</v>
      </c>
      <c r="C65" s="212">
        <v>-240104</v>
      </c>
      <c r="D65" s="212">
        <v>-296184</v>
      </c>
      <c r="E65" s="212">
        <v>-309575</v>
      </c>
      <c r="F65" s="211"/>
    </row>
    <row r="66" spans="1:6">
      <c r="A66" s="211" t="s">
        <v>369</v>
      </c>
      <c r="B66" s="212">
        <v>4</v>
      </c>
      <c r="C66" s="212">
        <v>-94</v>
      </c>
      <c r="D66" s="212">
        <v>43</v>
      </c>
      <c r="E66" s="213" t="s">
        <v>310</v>
      </c>
      <c r="F66" s="211"/>
    </row>
    <row r="67" spans="1:6">
      <c r="A67" s="211" t="s">
        <v>370</v>
      </c>
      <c r="B67" s="212">
        <v>122005</v>
      </c>
      <c r="C67" s="212">
        <v>28971</v>
      </c>
      <c r="D67" s="212">
        <v>-76231</v>
      </c>
      <c r="E67" s="212">
        <v>-97287</v>
      </c>
      <c r="F67" s="211"/>
    </row>
    <row r="68" spans="1:6">
      <c r="A68" s="211" t="s">
        <v>371</v>
      </c>
      <c r="B68" s="213" t="s">
        <v>310</v>
      </c>
      <c r="C68" s="213" t="s">
        <v>310</v>
      </c>
      <c r="D68" s="213" t="s">
        <v>310</v>
      </c>
      <c r="E68" s="212">
        <v>2186</v>
      </c>
      <c r="F68" s="211"/>
    </row>
    <row r="69" spans="1:6">
      <c r="A69" s="211" t="s">
        <v>372</v>
      </c>
      <c r="B69" s="213" t="s">
        <v>310</v>
      </c>
      <c r="C69" s="212">
        <v>28971</v>
      </c>
      <c r="D69" s="212">
        <v>-76231</v>
      </c>
      <c r="E69" s="212">
        <v>-95101</v>
      </c>
      <c r="F69" s="211"/>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2426E-7A46-463D-8A6F-1DA91084695D}">
  <sheetPr codeName="Sheet4"/>
  <dimension ref="A1:G59"/>
  <sheetViews>
    <sheetView workbookViewId="0">
      <selection activeCell="C12" sqref="C12"/>
    </sheetView>
  </sheetViews>
  <sheetFormatPr defaultRowHeight="12.5"/>
  <cols>
    <col min="1" max="1" width="50" style="206" customWidth="1"/>
    <col min="2" max="2" width="12.26953125" style="206" bestFit="1" customWidth="1"/>
    <col min="3" max="3" width="12.6328125" style="206" bestFit="1" customWidth="1"/>
    <col min="4" max="6" width="12.26953125" style="206" bestFit="1" customWidth="1"/>
    <col min="7" max="196" width="12" style="206" customWidth="1"/>
    <col min="197" max="16384" width="8.7265625" style="206"/>
  </cols>
  <sheetData>
    <row r="1" spans="1:7" ht="20">
      <c r="A1" s="205" t="s">
        <v>288</v>
      </c>
    </row>
    <row r="3" spans="1:7">
      <c r="A3" s="207" t="s">
        <v>289</v>
      </c>
    </row>
    <row r="6" spans="1:7" ht="13">
      <c r="A6" s="208" t="s">
        <v>373</v>
      </c>
    </row>
    <row r="7" spans="1:7" ht="13">
      <c r="A7" s="209" t="s">
        <v>291</v>
      </c>
      <c r="B7" s="210" t="s">
        <v>292</v>
      </c>
      <c r="C7" s="210" t="s">
        <v>293</v>
      </c>
      <c r="D7" s="210" t="s">
        <v>294</v>
      </c>
      <c r="E7" s="210" t="s">
        <v>295</v>
      </c>
      <c r="F7" s="210" t="s">
        <v>296</v>
      </c>
      <c r="G7" s="209"/>
    </row>
    <row r="8" spans="1:7" ht="13">
      <c r="A8" s="209" t="s">
        <v>297</v>
      </c>
      <c r="B8" s="210" t="s">
        <v>298</v>
      </c>
      <c r="C8" s="210" t="s">
        <v>298</v>
      </c>
      <c r="D8" s="210" t="s">
        <v>298</v>
      </c>
      <c r="E8" s="210" t="s">
        <v>298</v>
      </c>
      <c r="F8" s="210" t="s">
        <v>298</v>
      </c>
      <c r="G8" s="209"/>
    </row>
    <row r="9" spans="1:7" ht="13">
      <c r="A9" s="209" t="s">
        <v>299</v>
      </c>
      <c r="B9" s="210" t="s">
        <v>300</v>
      </c>
      <c r="C9" s="210" t="s">
        <v>301</v>
      </c>
      <c r="D9" s="210" t="s">
        <v>300</v>
      </c>
      <c r="E9" s="210" t="s">
        <v>300</v>
      </c>
      <c r="F9" s="210" t="s">
        <v>300</v>
      </c>
      <c r="G9" s="209"/>
    </row>
    <row r="10" spans="1:7" ht="13">
      <c r="A10" s="209" t="s">
        <v>302</v>
      </c>
      <c r="B10" s="210" t="s">
        <v>250</v>
      </c>
      <c r="C10" s="210" t="s">
        <v>250</v>
      </c>
      <c r="D10" s="210" t="s">
        <v>250</v>
      </c>
      <c r="E10" s="210" t="s">
        <v>250</v>
      </c>
      <c r="F10" s="210" t="s">
        <v>250</v>
      </c>
      <c r="G10" s="209"/>
    </row>
    <row r="11" spans="1:7" ht="13">
      <c r="A11" s="209" t="s">
        <v>303</v>
      </c>
      <c r="B11" s="210" t="s">
        <v>304</v>
      </c>
      <c r="C11" s="210" t="s">
        <v>304</v>
      </c>
      <c r="D11" s="210" t="s">
        <v>304</v>
      </c>
      <c r="E11" s="210" t="s">
        <v>304</v>
      </c>
      <c r="F11" s="210" t="s">
        <v>304</v>
      </c>
      <c r="G11" s="209"/>
    </row>
    <row r="12" spans="1:7">
      <c r="A12" s="211" t="s">
        <v>321</v>
      </c>
      <c r="B12" s="212">
        <v>50434</v>
      </c>
      <c r="C12" s="212">
        <v>57763</v>
      </c>
      <c r="D12" s="212">
        <v>15401</v>
      </c>
      <c r="E12" s="212">
        <v>48788</v>
      </c>
      <c r="F12" s="212">
        <v>74222</v>
      </c>
      <c r="G12" s="211"/>
    </row>
    <row r="13" spans="1:7">
      <c r="A13" s="211" t="s">
        <v>49</v>
      </c>
      <c r="B13" s="212">
        <v>28959</v>
      </c>
      <c r="C13" s="212">
        <v>24777</v>
      </c>
      <c r="D13" s="212">
        <v>20769</v>
      </c>
      <c r="E13" s="212">
        <v>11670</v>
      </c>
      <c r="F13" s="212">
        <v>7531</v>
      </c>
      <c r="G13" s="211"/>
    </row>
    <row r="14" spans="1:7">
      <c r="A14" s="211" t="s">
        <v>374</v>
      </c>
      <c r="B14" s="212">
        <v>2189</v>
      </c>
      <c r="C14" s="212">
        <v>3425</v>
      </c>
      <c r="D14" s="212">
        <v>2950</v>
      </c>
      <c r="E14" s="212">
        <v>1822</v>
      </c>
      <c r="F14" s="212">
        <v>722</v>
      </c>
      <c r="G14" s="211"/>
    </row>
    <row r="15" spans="1:7">
      <c r="A15" s="211" t="s">
        <v>375</v>
      </c>
      <c r="B15" s="212">
        <v>52332</v>
      </c>
      <c r="C15" s="212">
        <v>13247</v>
      </c>
      <c r="D15" s="212">
        <v>13393</v>
      </c>
      <c r="E15" s="212">
        <v>118415</v>
      </c>
      <c r="F15" s="212">
        <v>624</v>
      </c>
      <c r="G15" s="211"/>
    </row>
    <row r="16" spans="1:7">
      <c r="A16" s="211" t="s">
        <v>48</v>
      </c>
      <c r="B16" s="212">
        <v>15615</v>
      </c>
      <c r="C16" s="212">
        <v>2226</v>
      </c>
      <c r="D16" s="212">
        <v>8500</v>
      </c>
      <c r="E16" s="212">
        <v>-15800</v>
      </c>
      <c r="F16" s="212">
        <v>-1664</v>
      </c>
      <c r="G16" s="211"/>
    </row>
    <row r="17" spans="1:7">
      <c r="A17" s="211" t="s">
        <v>376</v>
      </c>
      <c r="B17" s="212">
        <v>616</v>
      </c>
      <c r="C17" s="212">
        <v>2209</v>
      </c>
      <c r="D17" s="213" t="s">
        <v>310</v>
      </c>
      <c r="E17" s="213" t="s">
        <v>310</v>
      </c>
      <c r="F17" s="213" t="s">
        <v>310</v>
      </c>
      <c r="G17" s="211"/>
    </row>
    <row r="18" spans="1:7">
      <c r="A18" s="211" t="s">
        <v>377</v>
      </c>
      <c r="B18" s="213" t="s">
        <v>310</v>
      </c>
      <c r="C18" s="213" t="s">
        <v>310</v>
      </c>
      <c r="D18" s="213" t="s">
        <v>310</v>
      </c>
      <c r="E18" s="212">
        <v>-1767</v>
      </c>
      <c r="F18" s="212">
        <v>-635</v>
      </c>
      <c r="G18" s="211"/>
    </row>
    <row r="19" spans="1:7">
      <c r="A19" s="211" t="s">
        <v>378</v>
      </c>
      <c r="B19" s="213" t="s">
        <v>310</v>
      </c>
      <c r="C19" s="213" t="s">
        <v>310</v>
      </c>
      <c r="D19" s="213" t="s">
        <v>310</v>
      </c>
      <c r="E19" s="213" t="s">
        <v>310</v>
      </c>
      <c r="F19" s="212">
        <v>6474</v>
      </c>
      <c r="G19" s="211"/>
    </row>
    <row r="20" spans="1:7">
      <c r="A20" s="211" t="s">
        <v>379</v>
      </c>
      <c r="B20" s="212">
        <v>643</v>
      </c>
      <c r="C20" s="212">
        <v>694</v>
      </c>
      <c r="D20" s="213" t="s">
        <v>310</v>
      </c>
      <c r="E20" s="212">
        <v>1221</v>
      </c>
      <c r="F20" s="213" t="s">
        <v>310</v>
      </c>
      <c r="G20" s="211"/>
    </row>
    <row r="21" spans="1:7">
      <c r="A21" s="211" t="s">
        <v>380</v>
      </c>
      <c r="B21" s="213" t="s">
        <v>310</v>
      </c>
      <c r="C21" s="213" t="s">
        <v>310</v>
      </c>
      <c r="D21" s="212">
        <v>86738</v>
      </c>
      <c r="E21" s="212">
        <v>-135438</v>
      </c>
      <c r="F21" s="212">
        <v>-78649</v>
      </c>
      <c r="G21" s="211"/>
    </row>
    <row r="22" spans="1:7">
      <c r="A22" s="211" t="s">
        <v>334</v>
      </c>
      <c r="B22" s="212">
        <v>-19940</v>
      </c>
      <c r="C22" s="212">
        <v>7675</v>
      </c>
      <c r="D22" s="212">
        <v>-29909</v>
      </c>
      <c r="E22" s="212">
        <v>8828</v>
      </c>
      <c r="F22" s="212">
        <v>-47124</v>
      </c>
      <c r="G22" s="211"/>
    </row>
    <row r="23" spans="1:7">
      <c r="A23" s="211" t="s">
        <v>335</v>
      </c>
      <c r="B23" s="212">
        <v>-40541</v>
      </c>
      <c r="C23" s="212">
        <v>29583</v>
      </c>
      <c r="D23" s="212">
        <v>71040</v>
      </c>
      <c r="E23" s="212">
        <v>-150646</v>
      </c>
      <c r="F23" s="212">
        <v>-70612</v>
      </c>
      <c r="G23" s="211"/>
    </row>
    <row r="24" spans="1:7">
      <c r="A24" s="211" t="s">
        <v>381</v>
      </c>
      <c r="B24" s="212">
        <v>-6798</v>
      </c>
      <c r="C24" s="212">
        <v>-5089</v>
      </c>
      <c r="D24" s="212">
        <v>17915</v>
      </c>
      <c r="E24" s="212">
        <v>-2992</v>
      </c>
      <c r="F24" s="212">
        <v>-10713</v>
      </c>
      <c r="G24" s="211"/>
    </row>
    <row r="25" spans="1:7">
      <c r="A25" s="211" t="s">
        <v>382</v>
      </c>
      <c r="B25" s="212">
        <v>6614</v>
      </c>
      <c r="C25" s="212">
        <v>43740</v>
      </c>
      <c r="D25" s="212">
        <v>27992</v>
      </c>
      <c r="E25" s="212">
        <v>7889</v>
      </c>
      <c r="F25" s="212">
        <v>36001</v>
      </c>
      <c r="G25" s="211"/>
    </row>
    <row r="26" spans="1:7">
      <c r="A26" s="211" t="s">
        <v>357</v>
      </c>
      <c r="B26" s="212">
        <v>-3101</v>
      </c>
      <c r="C26" s="212">
        <v>-5876</v>
      </c>
      <c r="D26" s="212">
        <v>-12805</v>
      </c>
      <c r="E26" s="212">
        <v>12959</v>
      </c>
      <c r="F26" s="212">
        <v>13929</v>
      </c>
      <c r="G26" s="211"/>
    </row>
    <row r="27" spans="1:7">
      <c r="A27" s="211" t="s">
        <v>383</v>
      </c>
      <c r="B27" s="212">
        <v>-129</v>
      </c>
      <c r="C27" s="212">
        <v>1694</v>
      </c>
      <c r="D27" s="212">
        <v>12505</v>
      </c>
      <c r="E27" s="212">
        <v>-11476</v>
      </c>
      <c r="F27" s="212">
        <v>-130</v>
      </c>
      <c r="G27" s="211"/>
    </row>
    <row r="28" spans="1:7">
      <c r="A28" s="211" t="s">
        <v>384</v>
      </c>
      <c r="B28" s="212">
        <v>86893</v>
      </c>
      <c r="C28" s="212">
        <v>176068</v>
      </c>
      <c r="D28" s="212">
        <v>147751</v>
      </c>
      <c r="E28" s="212">
        <v>28911</v>
      </c>
      <c r="F28" s="212">
        <v>8625</v>
      </c>
      <c r="G28" s="211"/>
    </row>
    <row r="29" spans="1:7">
      <c r="A29" s="211" t="s">
        <v>385</v>
      </c>
      <c r="B29" s="212">
        <v>-32077</v>
      </c>
      <c r="C29" s="212">
        <v>-20860</v>
      </c>
      <c r="D29" s="212">
        <v>-42197</v>
      </c>
      <c r="E29" s="212">
        <v>-35588</v>
      </c>
      <c r="F29" s="212">
        <v>-8856</v>
      </c>
      <c r="G29" s="211"/>
    </row>
    <row r="30" spans="1:7">
      <c r="A30" s="211" t="s">
        <v>386</v>
      </c>
      <c r="B30" s="212">
        <v>-16614</v>
      </c>
      <c r="C30" s="212">
        <v>-11027</v>
      </c>
      <c r="D30" s="212">
        <v>4926</v>
      </c>
      <c r="E30" s="212">
        <v>-24708</v>
      </c>
      <c r="F30" s="212">
        <v>-2046</v>
      </c>
      <c r="G30" s="211"/>
    </row>
    <row r="31" spans="1:7">
      <c r="A31" s="211" t="s">
        <v>387</v>
      </c>
      <c r="B31" s="213" t="s">
        <v>310</v>
      </c>
      <c r="C31" s="213" t="s">
        <v>310</v>
      </c>
      <c r="D31" s="212">
        <v>-2867</v>
      </c>
      <c r="E31" s="213" t="s">
        <v>310</v>
      </c>
      <c r="F31" s="213" t="s">
        <v>310</v>
      </c>
      <c r="G31" s="211"/>
    </row>
    <row r="32" spans="1:7">
      <c r="A32" s="211" t="s">
        <v>388</v>
      </c>
      <c r="B32" s="213" t="s">
        <v>310</v>
      </c>
      <c r="C32" s="212">
        <v>165</v>
      </c>
      <c r="D32" s="213" t="s">
        <v>310</v>
      </c>
      <c r="E32" s="213" t="s">
        <v>310</v>
      </c>
      <c r="F32" s="213" t="s">
        <v>310</v>
      </c>
      <c r="G32" s="211"/>
    </row>
    <row r="33" spans="1:7">
      <c r="A33" s="211" t="s">
        <v>389</v>
      </c>
      <c r="B33" s="213" t="s">
        <v>310</v>
      </c>
      <c r="C33" s="213" t="s">
        <v>310</v>
      </c>
      <c r="D33" s="213" t="s">
        <v>310</v>
      </c>
      <c r="E33" s="212">
        <v>4950</v>
      </c>
      <c r="F33" s="213" t="s">
        <v>310</v>
      </c>
      <c r="G33" s="211"/>
    </row>
    <row r="34" spans="1:7">
      <c r="A34" s="211" t="s">
        <v>390</v>
      </c>
      <c r="B34" s="213" t="s">
        <v>310</v>
      </c>
      <c r="C34" s="213" t="s">
        <v>310</v>
      </c>
      <c r="D34" s="212">
        <v>1416</v>
      </c>
      <c r="E34" s="212">
        <v>-538</v>
      </c>
      <c r="F34" s="213" t="s">
        <v>310</v>
      </c>
      <c r="G34" s="211"/>
    </row>
    <row r="35" spans="1:7">
      <c r="A35" s="211" t="s">
        <v>391</v>
      </c>
      <c r="B35" s="212">
        <v>-48691</v>
      </c>
      <c r="C35" s="212">
        <v>-31722</v>
      </c>
      <c r="D35" s="212">
        <v>-38722</v>
      </c>
      <c r="E35" s="212">
        <v>-55884</v>
      </c>
      <c r="F35" s="212">
        <v>-10902</v>
      </c>
      <c r="G35" s="211"/>
    </row>
    <row r="36" spans="1:7">
      <c r="A36" s="211" t="s">
        <v>392</v>
      </c>
      <c r="B36" s="212">
        <v>66238</v>
      </c>
      <c r="C36" s="213" t="s">
        <v>310</v>
      </c>
      <c r="D36" s="213" t="s">
        <v>310</v>
      </c>
      <c r="E36" s="213" t="s">
        <v>310</v>
      </c>
      <c r="F36" s="213" t="s">
        <v>310</v>
      </c>
      <c r="G36" s="211"/>
    </row>
    <row r="37" spans="1:7">
      <c r="A37" s="211" t="s">
        <v>393</v>
      </c>
      <c r="B37" s="212">
        <v>-64250</v>
      </c>
      <c r="C37" s="213" t="s">
        <v>310</v>
      </c>
      <c r="D37" s="213" t="s">
        <v>310</v>
      </c>
      <c r="E37" s="213" t="s">
        <v>310</v>
      </c>
      <c r="F37" s="213" t="s">
        <v>310</v>
      </c>
      <c r="G37" s="211"/>
    </row>
    <row r="38" spans="1:7">
      <c r="A38" s="211" t="s">
        <v>394</v>
      </c>
      <c r="B38" s="213" t="s">
        <v>310</v>
      </c>
      <c r="C38" s="213" t="s">
        <v>310</v>
      </c>
      <c r="D38" s="212">
        <v>-20000</v>
      </c>
      <c r="E38" s="212">
        <v>20000</v>
      </c>
      <c r="F38" s="213" t="s">
        <v>310</v>
      </c>
      <c r="G38" s="211"/>
    </row>
    <row r="39" spans="1:7">
      <c r="A39" s="211" t="s">
        <v>395</v>
      </c>
      <c r="B39" s="213" t="s">
        <v>310</v>
      </c>
      <c r="C39" s="213" t="s">
        <v>310</v>
      </c>
      <c r="D39" s="213" t="s">
        <v>310</v>
      </c>
      <c r="E39" s="212">
        <v>550000</v>
      </c>
      <c r="F39" s="212">
        <v>35000</v>
      </c>
      <c r="G39" s="211"/>
    </row>
    <row r="40" spans="1:7">
      <c r="A40" s="211" t="s">
        <v>396</v>
      </c>
      <c r="B40" s="212">
        <v>-34875</v>
      </c>
      <c r="C40" s="212">
        <v>-151788</v>
      </c>
      <c r="D40" s="212">
        <v>-45550</v>
      </c>
      <c r="E40" s="212">
        <v>-84451</v>
      </c>
      <c r="F40" s="212">
        <v>-1957</v>
      </c>
      <c r="G40" s="211"/>
    </row>
    <row r="41" spans="1:7">
      <c r="A41" s="211" t="s">
        <v>397</v>
      </c>
      <c r="B41" s="212">
        <v>-2135</v>
      </c>
      <c r="C41" s="213" t="s">
        <v>310</v>
      </c>
      <c r="D41" s="212">
        <v>-1957</v>
      </c>
      <c r="E41" s="212">
        <v>-11779</v>
      </c>
      <c r="F41" s="212">
        <v>-920</v>
      </c>
      <c r="G41" s="211"/>
    </row>
    <row r="42" spans="1:7">
      <c r="A42" s="211" t="s">
        <v>398</v>
      </c>
      <c r="B42" s="213" t="s">
        <v>310</v>
      </c>
      <c r="C42" s="212">
        <v>-1967</v>
      </c>
      <c r="D42" s="213" t="s">
        <v>310</v>
      </c>
      <c r="E42" s="213" t="s">
        <v>310</v>
      </c>
      <c r="F42" s="213" t="s">
        <v>310</v>
      </c>
      <c r="G42" s="211"/>
    </row>
    <row r="43" spans="1:7">
      <c r="A43" s="211" t="s">
        <v>399</v>
      </c>
      <c r="B43" s="212">
        <v>3561</v>
      </c>
      <c r="C43" s="212">
        <v>262</v>
      </c>
      <c r="D43" s="212">
        <v>99</v>
      </c>
      <c r="E43" s="212">
        <v>1434</v>
      </c>
      <c r="F43" s="212">
        <v>631</v>
      </c>
      <c r="G43" s="211"/>
    </row>
    <row r="44" spans="1:7">
      <c r="A44" s="211" t="s">
        <v>400</v>
      </c>
      <c r="B44" s="212">
        <v>-13516</v>
      </c>
      <c r="C44" s="212">
        <v>-57</v>
      </c>
      <c r="D44" s="212">
        <v>-2018</v>
      </c>
      <c r="E44" s="212">
        <v>-9608</v>
      </c>
      <c r="F44" s="213" t="s">
        <v>310</v>
      </c>
      <c r="G44" s="211"/>
    </row>
    <row r="45" spans="1:7">
      <c r="A45" s="211" t="s">
        <v>377</v>
      </c>
      <c r="B45" s="213" t="s">
        <v>310</v>
      </c>
      <c r="C45" s="213" t="s">
        <v>310</v>
      </c>
      <c r="D45" s="213" t="s">
        <v>310</v>
      </c>
      <c r="E45" s="212">
        <v>1767</v>
      </c>
      <c r="F45" s="212">
        <v>635</v>
      </c>
      <c r="G45" s="211"/>
    </row>
    <row r="46" spans="1:7">
      <c r="A46" s="211" t="s">
        <v>401</v>
      </c>
      <c r="B46" s="213" t="s">
        <v>310</v>
      </c>
      <c r="C46" s="213" t="s">
        <v>310</v>
      </c>
      <c r="D46" s="213" t="s">
        <v>310</v>
      </c>
      <c r="E46" s="212">
        <v>-3291</v>
      </c>
      <c r="F46" s="213" t="s">
        <v>310</v>
      </c>
      <c r="G46" s="211"/>
    </row>
    <row r="47" spans="1:7">
      <c r="A47" s="211" t="s">
        <v>402</v>
      </c>
      <c r="B47" s="213" t="s">
        <v>310</v>
      </c>
      <c r="C47" s="212">
        <v>38083</v>
      </c>
      <c r="D47" s="213" t="s">
        <v>310</v>
      </c>
      <c r="E47" s="212">
        <v>708</v>
      </c>
      <c r="F47" s="212">
        <v>254</v>
      </c>
      <c r="G47" s="211"/>
    </row>
    <row r="48" spans="1:7">
      <c r="A48" s="211" t="s">
        <v>403</v>
      </c>
      <c r="B48" s="213" t="s">
        <v>310</v>
      </c>
      <c r="C48" s="213" t="s">
        <v>310</v>
      </c>
      <c r="D48" s="213" t="s">
        <v>310</v>
      </c>
      <c r="E48" s="212">
        <v>-2861</v>
      </c>
      <c r="F48" s="213" t="s">
        <v>310</v>
      </c>
      <c r="G48" s="211"/>
    </row>
    <row r="49" spans="1:7">
      <c r="A49" s="211" t="s">
        <v>404</v>
      </c>
      <c r="B49" s="212">
        <v>-636</v>
      </c>
      <c r="C49" s="212">
        <v>-2523</v>
      </c>
      <c r="D49" s="212">
        <v>-2811</v>
      </c>
      <c r="E49" s="212">
        <v>-453908</v>
      </c>
      <c r="F49" s="213" t="s">
        <v>310</v>
      </c>
      <c r="G49" s="211"/>
    </row>
    <row r="50" spans="1:7">
      <c r="A50" s="211" t="s">
        <v>405</v>
      </c>
      <c r="B50" s="212">
        <v>-74</v>
      </c>
      <c r="C50" s="213" t="s">
        <v>310</v>
      </c>
      <c r="D50" s="213" t="s">
        <v>310</v>
      </c>
      <c r="E50" s="213" t="s">
        <v>310</v>
      </c>
      <c r="F50" s="213" t="s">
        <v>310</v>
      </c>
      <c r="G50" s="211"/>
    </row>
    <row r="51" spans="1:7">
      <c r="A51" s="211" t="s">
        <v>406</v>
      </c>
      <c r="B51" s="212">
        <v>-45687</v>
      </c>
      <c r="C51" s="212">
        <v>-117990</v>
      </c>
      <c r="D51" s="212">
        <v>-72237</v>
      </c>
      <c r="E51" s="212">
        <v>8011</v>
      </c>
      <c r="F51" s="212">
        <v>33643</v>
      </c>
      <c r="G51" s="211"/>
    </row>
    <row r="52" spans="1:7">
      <c r="A52" s="211" t="s">
        <v>407</v>
      </c>
      <c r="B52" s="213" t="s">
        <v>310</v>
      </c>
      <c r="C52" s="213" t="s">
        <v>310</v>
      </c>
      <c r="D52" s="212">
        <v>-4432</v>
      </c>
      <c r="E52" s="213" t="s">
        <v>310</v>
      </c>
      <c r="F52" s="213" t="s">
        <v>310</v>
      </c>
      <c r="G52" s="211"/>
    </row>
    <row r="53" spans="1:7">
      <c r="A53" s="211" t="s">
        <v>408</v>
      </c>
      <c r="B53" s="213" t="s">
        <v>310</v>
      </c>
      <c r="C53" s="213" t="s">
        <v>310</v>
      </c>
      <c r="D53" s="212">
        <v>-4432</v>
      </c>
      <c r="E53" s="213" t="s">
        <v>310</v>
      </c>
      <c r="F53" s="213" t="s">
        <v>310</v>
      </c>
      <c r="G53" s="211"/>
    </row>
    <row r="54" spans="1:7">
      <c r="A54" s="211" t="s">
        <v>409</v>
      </c>
      <c r="B54" s="212">
        <v>-51</v>
      </c>
      <c r="C54" s="212">
        <v>45</v>
      </c>
      <c r="D54" s="212">
        <v>-1</v>
      </c>
      <c r="E54" s="213" t="s">
        <v>310</v>
      </c>
      <c r="F54" s="213" t="s">
        <v>310</v>
      </c>
      <c r="G54" s="211"/>
    </row>
    <row r="55" spans="1:7">
      <c r="A55" s="211" t="s">
        <v>410</v>
      </c>
      <c r="B55" s="212">
        <v>-7536</v>
      </c>
      <c r="C55" s="212">
        <v>26401</v>
      </c>
      <c r="D55" s="212">
        <v>32359</v>
      </c>
      <c r="E55" s="212">
        <v>-18962</v>
      </c>
      <c r="F55" s="212">
        <v>31366</v>
      </c>
      <c r="G55" s="211"/>
    </row>
    <row r="56" spans="1:7">
      <c r="A56" s="211" t="s">
        <v>411</v>
      </c>
      <c r="B56" s="212">
        <v>80051</v>
      </c>
      <c r="C56" s="212">
        <v>53650</v>
      </c>
      <c r="D56" s="212">
        <v>21291</v>
      </c>
      <c r="E56" s="212">
        <v>40253</v>
      </c>
      <c r="F56" s="212">
        <v>8887</v>
      </c>
      <c r="G56" s="211"/>
    </row>
    <row r="57" spans="1:7">
      <c r="A57" s="211" t="s">
        <v>412</v>
      </c>
      <c r="B57" s="212">
        <v>72515</v>
      </c>
      <c r="C57" s="212">
        <v>80051</v>
      </c>
      <c r="D57" s="212">
        <v>53650</v>
      </c>
      <c r="E57" s="212">
        <v>21291</v>
      </c>
      <c r="F57" s="212">
        <v>40253</v>
      </c>
      <c r="G57" s="211"/>
    </row>
    <row r="58" spans="1:7">
      <c r="A58" s="211" t="s">
        <v>413</v>
      </c>
      <c r="B58" s="212">
        <v>19396</v>
      </c>
      <c r="C58" s="212">
        <v>28504</v>
      </c>
      <c r="D58" s="212">
        <v>2989</v>
      </c>
      <c r="E58" s="212">
        <v>19634</v>
      </c>
      <c r="F58" s="212">
        <v>5278</v>
      </c>
      <c r="G58" s="211"/>
    </row>
    <row r="59" spans="1:7">
      <c r="A59" s="211" t="s">
        <v>45</v>
      </c>
      <c r="B59" s="212">
        <v>3524</v>
      </c>
      <c r="C59" s="212">
        <v>16347</v>
      </c>
      <c r="D59" s="212">
        <v>20640</v>
      </c>
      <c r="E59" s="212">
        <v>25292</v>
      </c>
      <c r="F59" s="212">
        <v>28191</v>
      </c>
      <c r="G59" s="211"/>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6E23A-688F-4B2E-8D9D-914A8D00A678}">
  <sheetPr codeName="Sheet7"/>
  <dimension ref="B2:H30"/>
  <sheetViews>
    <sheetView zoomScaleNormal="100" workbookViewId="0">
      <selection activeCell="C12" sqref="C12"/>
    </sheetView>
  </sheetViews>
  <sheetFormatPr defaultColWidth="10.1796875" defaultRowHeight="12.5"/>
  <cols>
    <col min="1" max="1" width="3.1796875" style="94" customWidth="1"/>
    <col min="2" max="2" width="13.1796875" style="94" customWidth="1"/>
    <col min="3" max="3" width="19.26953125" style="94" customWidth="1"/>
    <col min="4" max="16384" width="10.1796875" style="94"/>
  </cols>
  <sheetData>
    <row r="2" spans="2:8" s="216" customFormat="1" ht="18">
      <c r="B2" s="215" t="s">
        <v>94</v>
      </c>
      <c r="C2" s="215"/>
    </row>
    <row r="3" spans="2:8" ht="13">
      <c r="B3" s="217" t="s">
        <v>95</v>
      </c>
      <c r="C3" s="217"/>
      <c r="E3" s="218">
        <f ca="1">YETI_DCF!S45</f>
        <v>36.422124671228389</v>
      </c>
    </row>
    <row r="4" spans="2:8" ht="13">
      <c r="B4" s="217" t="s">
        <v>96</v>
      </c>
      <c r="C4" s="217"/>
      <c r="E4" s="219">
        <v>16.440000000000001</v>
      </c>
    </row>
    <row r="5" spans="2:8" ht="13">
      <c r="B5" s="217" t="s">
        <v>97</v>
      </c>
      <c r="C5" s="217"/>
      <c r="E5" s="220">
        <v>8.1199999999999992</v>
      </c>
    </row>
    <row r="6" spans="2:8" ht="13">
      <c r="B6" s="217" t="s">
        <v>98</v>
      </c>
      <c r="C6" s="217"/>
      <c r="E6" s="221">
        <v>0.35</v>
      </c>
      <c r="F6" s="217" t="s">
        <v>99</v>
      </c>
    </row>
    <row r="7" spans="2:8" ht="13">
      <c r="B7" s="217" t="s">
        <v>100</v>
      </c>
      <c r="C7" s="217"/>
      <c r="E7" s="222">
        <v>0</v>
      </c>
    </row>
    <row r="8" spans="2:8" ht="13">
      <c r="B8" s="217" t="s">
        <v>101</v>
      </c>
      <c r="C8" s="217"/>
      <c r="E8" s="222">
        <v>8.8999999999999999E-3</v>
      </c>
    </row>
    <row r="9" spans="2:8" ht="13">
      <c r="B9" s="217" t="s">
        <v>132</v>
      </c>
      <c r="C9" s="217"/>
      <c r="E9" s="220">
        <f>1618000/1000</f>
        <v>1618</v>
      </c>
    </row>
    <row r="10" spans="2:8" ht="13">
      <c r="B10" s="217" t="s">
        <v>102</v>
      </c>
      <c r="C10" s="217"/>
      <c r="E10" s="223">
        <f>YETI_DCF!S43</f>
        <v>87105.442999999999</v>
      </c>
    </row>
    <row r="11" spans="2:8" ht="13">
      <c r="B11" s="217"/>
      <c r="C11" s="217"/>
      <c r="E11" s="224"/>
    </row>
    <row r="12" spans="2:8" ht="13">
      <c r="B12" s="217" t="s">
        <v>130</v>
      </c>
      <c r="C12" s="225" t="s">
        <v>131</v>
      </c>
      <c r="E12" s="224"/>
    </row>
    <row r="13" spans="2:8" ht="13">
      <c r="B13" s="217"/>
      <c r="C13" s="217"/>
    </row>
    <row r="14" spans="2:8" s="228" customFormat="1" ht="13.5">
      <c r="B14" s="226" t="s">
        <v>103</v>
      </c>
      <c r="C14" s="227"/>
    </row>
    <row r="15" spans="2:8" s="217" customFormat="1" ht="13">
      <c r="B15" s="229" t="s">
        <v>104</v>
      </c>
    </row>
    <row r="16" spans="2:8" s="217" customFormat="1" ht="13">
      <c r="B16" s="217" t="s">
        <v>105</v>
      </c>
      <c r="D16" s="230">
        <f ca="1">E3</f>
        <v>36.422124671228389</v>
      </c>
      <c r="E16" s="217" t="s">
        <v>106</v>
      </c>
      <c r="G16" s="225">
        <f>E9</f>
        <v>1618</v>
      </c>
      <c r="H16" s="231"/>
    </row>
    <row r="17" spans="2:8" s="217" customFormat="1" ht="13">
      <c r="B17" s="217" t="s">
        <v>107</v>
      </c>
      <c r="D17" s="230">
        <f>E4</f>
        <v>16.440000000000001</v>
      </c>
      <c r="E17" s="217" t="s">
        <v>108</v>
      </c>
      <c r="G17" s="232">
        <f>E10</f>
        <v>87105.442999999999</v>
      </c>
      <c r="H17" s="231"/>
    </row>
    <row r="18" spans="2:8" s="217" customFormat="1" ht="13">
      <c r="B18" s="217" t="s">
        <v>109</v>
      </c>
      <c r="D18" s="233">
        <f ca="1">(D16*G17+D29*G16)/(G17+G16)</f>
        <v>36.181450963716919</v>
      </c>
      <c r="E18" s="217" t="s">
        <v>110</v>
      </c>
      <c r="G18" s="234">
        <f>E8</f>
        <v>8.8999999999999999E-3</v>
      </c>
    </row>
    <row r="19" spans="2:8" s="217" customFormat="1" ht="13">
      <c r="B19" s="217" t="s">
        <v>111</v>
      </c>
      <c r="D19" s="230">
        <f>D17</f>
        <v>16.440000000000001</v>
      </c>
      <c r="E19" s="217" t="s">
        <v>112</v>
      </c>
      <c r="G19" s="235">
        <f>E6^2</f>
        <v>0.12249999999999998</v>
      </c>
    </row>
    <row r="20" spans="2:8" s="217" customFormat="1" ht="13">
      <c r="B20" s="217" t="s">
        <v>113</v>
      </c>
      <c r="D20" s="230">
        <f>E5</f>
        <v>8.1199999999999992</v>
      </c>
      <c r="E20" s="217" t="s">
        <v>114</v>
      </c>
      <c r="G20" s="234">
        <f>E7</f>
        <v>0</v>
      </c>
    </row>
    <row r="21" spans="2:8" s="217" customFormat="1" ht="13">
      <c r="D21" s="229"/>
      <c r="E21" s="217" t="s">
        <v>115</v>
      </c>
      <c r="G21" s="236">
        <f>G18-G20</f>
        <v>8.8999999999999999E-3</v>
      </c>
    </row>
    <row r="22" spans="2:8" s="217" customFormat="1" ht="13"/>
    <row r="23" spans="2:8" s="217" customFormat="1" ht="13">
      <c r="B23" s="217" t="s">
        <v>116</v>
      </c>
      <c r="C23" s="225">
        <f ca="1">(LN(D18/D19)+(G21+(G19/2))*D20)/(((G19)^(0.5))*(D20^0.5))</f>
        <v>1.3620614516635698</v>
      </c>
    </row>
    <row r="24" spans="2:8" s="217" customFormat="1" ht="13">
      <c r="B24" s="217" t="s">
        <v>117</v>
      </c>
      <c r="C24" s="225">
        <f ca="1">NORMSDIST(C23)</f>
        <v>0.91341075378192582</v>
      </c>
    </row>
    <row r="25" spans="2:8" s="217" customFormat="1" ht="13"/>
    <row r="26" spans="2:8" s="217" customFormat="1" ht="13">
      <c r="B26" s="217" t="s">
        <v>118</v>
      </c>
      <c r="C26" s="225">
        <f ca="1">C23-((G19^0.5)*(D20^(0.5)))</f>
        <v>0.36471497224931948</v>
      </c>
    </row>
    <row r="27" spans="2:8" s="217" customFormat="1" ht="13">
      <c r="B27" s="217" t="s">
        <v>119</v>
      </c>
      <c r="C27" s="225">
        <f ca="1">NORMSDIST(C26)</f>
        <v>0.64233790943773883</v>
      </c>
    </row>
    <row r="28" spans="2:8" ht="13.5" thickBot="1">
      <c r="B28" s="217"/>
      <c r="C28" s="217"/>
    </row>
    <row r="29" spans="2:8" s="217" customFormat="1" ht="13.5" thickBot="1">
      <c r="B29" s="217" t="s">
        <v>120</v>
      </c>
      <c r="D29" s="237">
        <f ca="1">IF(C12="OFF",((EXP((0-G20)*D20))*D18*C24-D19*(EXP((0-G18)*D20))*C27),0)</f>
        <v>23.224720487054661</v>
      </c>
      <c r="H29" s="238"/>
    </row>
    <row r="30" spans="2:8" s="217" customFormat="1" ht="13.5" thickBot="1">
      <c r="B30" s="217" t="s">
        <v>121</v>
      </c>
      <c r="E30" s="239">
        <f ca="1">D29*E9</f>
        <v>37577.597748054439</v>
      </c>
    </row>
  </sheetData>
  <dataValidations count="1">
    <dataValidation type="list" allowBlank="1" showInputMessage="1" showErrorMessage="1" sqref="C12" xr:uid="{B57CDA3D-E9FF-43C1-897B-5A52D13EFFEB}">
      <formula1>"ON,OFF"</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B1EB7-E5BE-4CC3-8D78-B589A3CCB8E2}">
  <sheetPr codeName="Sheet8"/>
  <dimension ref="B2:J18"/>
  <sheetViews>
    <sheetView workbookViewId="0">
      <selection activeCell="H12" sqref="A1:XFD1048576"/>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274</v>
      </c>
    </row>
    <row r="3" spans="2:10">
      <c r="B3" s="38"/>
    </row>
    <row r="4" spans="2:10">
      <c r="C4" s="37" t="s">
        <v>161</v>
      </c>
      <c r="D4" s="63"/>
      <c r="E4" s="37" t="s">
        <v>427</v>
      </c>
      <c r="F4" s="37"/>
      <c r="G4" s="38"/>
      <c r="H4" s="37" t="s">
        <v>144</v>
      </c>
      <c r="I4" s="62"/>
      <c r="J4" s="46"/>
    </row>
    <row r="5" spans="2:10">
      <c r="C5" s="39">
        <v>43830</v>
      </c>
      <c r="D5" s="39"/>
      <c r="E5" s="39"/>
      <c r="F5" s="39"/>
      <c r="G5" s="39"/>
      <c r="H5" s="39">
        <v>43830</v>
      </c>
      <c r="I5" s="61"/>
    </row>
    <row r="6" spans="2:10">
      <c r="B6" s="36" t="s">
        <v>162</v>
      </c>
      <c r="C6" s="247">
        <v>1701063</v>
      </c>
      <c r="D6" s="247"/>
      <c r="E6" s="247"/>
      <c r="F6" s="247"/>
      <c r="G6" s="247"/>
      <c r="H6" s="247">
        <f>C6</f>
        <v>1701063</v>
      </c>
    </row>
    <row r="7" spans="2:10">
      <c r="B7" s="36" t="s">
        <v>39</v>
      </c>
      <c r="C7" s="247">
        <v>132668</v>
      </c>
      <c r="D7" s="247"/>
      <c r="E7" s="247"/>
      <c r="F7" s="247"/>
      <c r="G7" s="247"/>
      <c r="H7" s="247">
        <f t="shared" ref="H7:H8" si="0">C7</f>
        <v>132668</v>
      </c>
    </row>
    <row r="8" spans="2:10">
      <c r="B8" s="36" t="s">
        <v>163</v>
      </c>
      <c r="C8" s="247">
        <f>C7+34951+30893</f>
        <v>198512</v>
      </c>
      <c r="D8" s="247"/>
      <c r="E8" s="247"/>
      <c r="F8" s="247"/>
      <c r="G8" s="247"/>
      <c r="H8" s="247">
        <f t="shared" si="0"/>
        <v>198512</v>
      </c>
    </row>
    <row r="9" spans="2:10">
      <c r="C9" s="247"/>
      <c r="D9" s="247"/>
      <c r="E9" s="247"/>
      <c r="F9" s="247"/>
      <c r="G9" s="247"/>
      <c r="H9" s="247"/>
    </row>
    <row r="10" spans="2:10">
      <c r="C10" s="247"/>
      <c r="D10" s="247"/>
      <c r="E10" s="247"/>
      <c r="F10" s="247"/>
      <c r="G10" s="247"/>
      <c r="H10" s="248" t="s">
        <v>164</v>
      </c>
      <c r="I10" s="62"/>
    </row>
    <row r="11" spans="2:10">
      <c r="C11" s="247"/>
      <c r="D11" s="247"/>
      <c r="E11" s="247"/>
      <c r="F11" s="247"/>
      <c r="G11" s="247"/>
      <c r="H11" s="39">
        <v>43830</v>
      </c>
      <c r="I11" s="61"/>
    </row>
    <row r="12" spans="2:10">
      <c r="B12" s="36" t="s">
        <v>165</v>
      </c>
      <c r="C12" s="247"/>
      <c r="D12" s="247"/>
      <c r="E12" s="247"/>
      <c r="F12" s="247"/>
      <c r="G12" s="247"/>
      <c r="H12" s="247">
        <f>443259+137696+7317+26418-106666</f>
        <v>508024</v>
      </c>
      <c r="I12" s="40"/>
    </row>
    <row r="13" spans="2:10">
      <c r="B13" s="36" t="s">
        <v>166</v>
      </c>
      <c r="C13" s="247"/>
      <c r="D13" s="247"/>
      <c r="E13" s="247"/>
      <c r="F13" s="247"/>
      <c r="G13" s="247"/>
      <c r="H13" s="247">
        <v>0</v>
      </c>
    </row>
    <row r="14" spans="2:10">
      <c r="B14" s="36" t="s">
        <v>167</v>
      </c>
      <c r="C14" s="247"/>
      <c r="D14" s="247"/>
      <c r="E14" s="247"/>
      <c r="F14" s="247"/>
      <c r="G14" s="247"/>
      <c r="H14" s="247">
        <v>0</v>
      </c>
    </row>
    <row r="15" spans="2:10">
      <c r="C15" s="247"/>
      <c r="D15" s="247"/>
      <c r="E15" s="247"/>
      <c r="F15" s="247"/>
      <c r="G15" s="247"/>
      <c r="H15" s="247"/>
    </row>
    <row r="16" spans="2:10">
      <c r="B16" s="36" t="s">
        <v>185</v>
      </c>
      <c r="C16" s="247"/>
      <c r="D16" s="247"/>
      <c r="E16" s="247"/>
      <c r="F16" s="247"/>
      <c r="G16" s="247"/>
      <c r="H16" s="247">
        <v>106666</v>
      </c>
    </row>
    <row r="17" spans="2:8">
      <c r="B17" s="36" t="s">
        <v>186</v>
      </c>
      <c r="C17" s="247"/>
      <c r="D17" s="247"/>
      <c r="E17" s="247"/>
      <c r="F17" s="247"/>
      <c r="G17" s="247"/>
      <c r="H17" s="247">
        <v>1960548</v>
      </c>
    </row>
    <row r="18" spans="2:8">
      <c r="C18" s="40"/>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Possible_Comps</vt:lpstr>
      <vt:lpstr>Selecting_Comps</vt:lpstr>
      <vt:lpstr>Yeti_Comps</vt:lpstr>
      <vt:lpstr>YETI_DCF</vt:lpstr>
      <vt:lpstr>YETI_IS</vt:lpstr>
      <vt:lpstr>YETI_BS</vt:lpstr>
      <vt:lpstr>YETI_CFS</vt:lpstr>
      <vt:lpstr>Option_Value</vt:lpstr>
      <vt:lpstr>ELY_LTM</vt:lpstr>
      <vt:lpstr>CLAR_LTM</vt:lpstr>
      <vt:lpstr>LULU_LTM</vt:lpstr>
      <vt:lpstr>GOOS_LTM</vt:lpstr>
      <vt:lpstr>JOUT_LTM</vt:lpstr>
      <vt:lpstr>COLM_LTM</vt:lpstr>
      <vt:lpstr>YETI_LTM</vt:lpstr>
    </vt:vector>
  </TitlesOfParts>
  <Company>Loyola Marymount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Moore</dc:creator>
  <cp:lastModifiedBy>David Moore</cp:lastModifiedBy>
  <dcterms:created xsi:type="dcterms:W3CDTF">2019-02-12T17:30:01Z</dcterms:created>
  <dcterms:modified xsi:type="dcterms:W3CDTF">2020-04-12T20:53:42Z</dcterms:modified>
</cp:coreProperties>
</file>