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C:\Users\dmoor\Dropbox\LMU_teaching\FNCE_3415\Fall_22\SILK_Valuation\"/>
    </mc:Choice>
  </mc:AlternateContent>
  <xr:revisionPtr revIDLastSave="0" documentId="13_ncr:1_{8E8A8B50-FB99-40A9-B59B-CFB5272C7C9A}" xr6:coauthVersionLast="47" xr6:coauthVersionMax="47" xr10:uidLastSave="{00000000-0000-0000-0000-000000000000}"/>
  <bookViews>
    <workbookView xWindow="-28920" yWindow="-120" windowWidth="29040" windowHeight="15840" xr2:uid="{00000000-000D-0000-FFFF-FFFF00000000}"/>
  </bookViews>
  <sheets>
    <sheet name="Possible_Comps" sheetId="15" r:id="rId1"/>
    <sheet name="Selecting_Comps" sheetId="16" r:id="rId2"/>
    <sheet name="SILK_Comps" sheetId="17" r:id="rId3"/>
    <sheet name="SILK_DCF" sheetId="1" r:id="rId4"/>
    <sheet name="SILK_Cases" sheetId="11" r:id="rId5"/>
    <sheet name="Option_Value" sheetId="12" r:id="rId6"/>
    <sheet name="SILK_IS" sheetId="8" r:id="rId7"/>
    <sheet name="SILK_BS" sheetId="9" r:id="rId8"/>
    <sheet name="SILK_CFS" sheetId="10" r:id="rId9"/>
    <sheet name="SILK_LTM" sheetId="18" r:id="rId10"/>
    <sheet name="LUNG_LTM" sheetId="19" r:id="rId11"/>
    <sheet name="INSP_LTM" sheetId="20" r:id="rId12"/>
    <sheet name="SIBN_LTM" sheetId="21" r:id="rId13"/>
    <sheet name="NARI_LTM" sheetId="22" r:id="rId14"/>
    <sheet name="ESTA_LTM" sheetId="23" r:id="rId15"/>
    <sheet name="LMAT_LTM" sheetId="24" r:id="rId16"/>
  </sheets>
  <externalReferences>
    <externalReference r:id="rId17"/>
    <externalReference r:id="rId18"/>
  </externalReferences>
  <definedNames>
    <definedName name="_xlnm._FilterDatabase" localSheetId="3" hidden="1">SILK_DCF!#REF!</definedName>
    <definedName name="AXL_Debt">[1]AXL_BS!$B$65</definedName>
    <definedName name="BEA_Debt">#REF!</definedName>
    <definedName name="BWA_Debt">[1]BWA_BS!$B$111</definedName>
    <definedName name="CIQWBGuid" hidden="1">"d0998759-8ba7-4210-8fa6-7a4a90d99731"</definedName>
    <definedName name="DAN_Debt">[1]DAN_BS!$B$94</definedName>
    <definedName name="GNTX_NCI">[1]GNTX_LTM!$E$13</definedName>
    <definedName name="GNTX_Net_Debt">[1]GNTX_LTM!$E$11</definedName>
    <definedName name="GNTX_PS">[1]GNTX_LTM!$E$12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2" hidden="1">42765.9361458333</definedName>
    <definedName name="IQ_NAMES_REVISION_DATE_" hidden="1">43011.9007060185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rispy_Cash_LQ">[2]KKD_BS_LQ!$B$3</definedName>
    <definedName name="Krispy_EBITDA_LTM">[2]KKD_LTM!$E$6</definedName>
    <definedName name="LEA_Debt">[1]LEA_BS!$B$58</definedName>
    <definedName name="THRM_Debt">[1]THRM_BS!$B$78</definedName>
    <definedName name="VC_Debt">[1]VC_BS!$B$109</definedName>
  </definedNames>
  <calcPr calcId="191029" calcMode="autoNoTable"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2" i="1" l="1"/>
  <c r="C8" i="24" l="1"/>
  <c r="F8" i="24"/>
  <c r="E8" i="24"/>
  <c r="H12" i="24"/>
  <c r="H16" i="24"/>
  <c r="C8" i="23"/>
  <c r="F8" i="23"/>
  <c r="E8" i="23"/>
  <c r="H12" i="23"/>
  <c r="C8" i="22"/>
  <c r="F8" i="22"/>
  <c r="E8" i="22"/>
  <c r="H12" i="22"/>
  <c r="H16" i="22"/>
  <c r="C8" i="21"/>
  <c r="F8" i="21"/>
  <c r="E8" i="21"/>
  <c r="H12" i="21"/>
  <c r="H16" i="21"/>
  <c r="C8" i="20"/>
  <c r="F8" i="20"/>
  <c r="E8" i="20"/>
  <c r="H12" i="20"/>
  <c r="H16" i="20"/>
  <c r="H7" i="24"/>
  <c r="H6" i="24"/>
  <c r="H7" i="23"/>
  <c r="H6" i="23"/>
  <c r="H8" i="22"/>
  <c r="H7" i="22"/>
  <c r="H6" i="22"/>
  <c r="H7" i="21"/>
  <c r="H6" i="21"/>
  <c r="C8" i="19"/>
  <c r="F8" i="19"/>
  <c r="E8" i="19"/>
  <c r="H12" i="19"/>
  <c r="H16" i="19"/>
  <c r="H7" i="20"/>
  <c r="H6" i="20"/>
  <c r="H7" i="19"/>
  <c r="H6" i="19"/>
  <c r="C8" i="18"/>
  <c r="F8" i="18"/>
  <c r="E8" i="18"/>
  <c r="H16" i="18"/>
  <c r="H12" i="18"/>
  <c r="H8" i="24" l="1"/>
  <c r="H8" i="23"/>
  <c r="H8" i="21"/>
  <c r="H8" i="20"/>
  <c r="H8" i="19"/>
  <c r="G27" i="16" l="1"/>
  <c r="H12" i="16" l="1"/>
  <c r="H4" i="16"/>
  <c r="H5" i="16"/>
  <c r="H6" i="16"/>
  <c r="H7" i="16"/>
  <c r="H8" i="16"/>
  <c r="H9" i="16"/>
  <c r="H10" i="16"/>
  <c r="H11" i="16"/>
  <c r="H13" i="16"/>
  <c r="H14" i="16"/>
  <c r="H15" i="16"/>
  <c r="H16" i="16"/>
  <c r="H17" i="16"/>
  <c r="H18" i="16"/>
  <c r="H19" i="16"/>
  <c r="H20" i="16"/>
  <c r="H21" i="16"/>
  <c r="H22" i="16"/>
  <c r="H23" i="16"/>
  <c r="H24" i="16"/>
  <c r="H3" i="16"/>
  <c r="H8" i="18"/>
  <c r="H7" i="18"/>
  <c r="H6" i="18"/>
  <c r="L31" i="1"/>
  <c r="M31" i="1" s="1"/>
  <c r="N31" i="1" s="1"/>
  <c r="O31" i="1" s="1"/>
  <c r="P31" i="1" s="1"/>
  <c r="Q31" i="1" s="1"/>
  <c r="R31" i="1" s="1"/>
  <c r="S31" i="1" s="1"/>
  <c r="T31" i="1" s="1"/>
  <c r="L28" i="1"/>
  <c r="M28" i="1" s="1"/>
  <c r="N28" i="1" s="1"/>
  <c r="O28" i="1" s="1"/>
  <c r="P28" i="1" s="1"/>
  <c r="Q28" i="1" s="1"/>
  <c r="R28" i="1" s="1"/>
  <c r="S28" i="1" s="1"/>
  <c r="T28" i="1" s="1"/>
  <c r="D159" i="1"/>
  <c r="D160" i="1" s="1"/>
  <c r="D161" i="1" s="1"/>
  <c r="D162" i="1" s="1"/>
  <c r="D163" i="1" s="1"/>
  <c r="D164" i="1" s="1"/>
  <c r="D165" i="1" s="1"/>
  <c r="D166" i="1" s="1"/>
  <c r="I157" i="1"/>
  <c r="H157" i="1" s="1"/>
  <c r="G157" i="1" s="1"/>
  <c r="F157" i="1" s="1"/>
  <c r="E157" i="1" s="1"/>
  <c r="K157" i="1"/>
  <c r="L157" i="1" s="1"/>
  <c r="M157" i="1" s="1"/>
  <c r="N157" i="1" s="1"/>
  <c r="O157" i="1" s="1"/>
  <c r="I150" i="1"/>
  <c r="H150" i="1" s="1"/>
  <c r="G150" i="1" s="1"/>
  <c r="F150" i="1" s="1"/>
  <c r="E150" i="1" s="1"/>
  <c r="K150" i="1"/>
  <c r="L150" i="1" s="1"/>
  <c r="M150" i="1" s="1"/>
  <c r="N150" i="1" s="1"/>
  <c r="O150" i="1" s="1"/>
  <c r="F143" i="1"/>
  <c r="F144" i="1" s="1"/>
  <c r="F145" i="1" s="1"/>
  <c r="F146" i="1" s="1"/>
  <c r="F147" i="1" s="1"/>
  <c r="F141" i="1"/>
  <c r="F140" i="1" s="1"/>
  <c r="F139" i="1" s="1"/>
  <c r="F138" i="1" s="1"/>
  <c r="F137" i="1" s="1"/>
  <c r="S41" i="1"/>
  <c r="E10" i="12" s="1"/>
  <c r="E9" i="12" l="1"/>
  <c r="N88" i="1"/>
  <c r="S47" i="1" s="1"/>
  <c r="N85" i="1"/>
  <c r="S48" i="1" s="1"/>
  <c r="C40" i="12"/>
  <c r="D36" i="12"/>
  <c r="D37" i="12"/>
  <c r="D38" i="12"/>
  <c r="D39" i="12"/>
  <c r="D35" i="12"/>
  <c r="B40" i="12"/>
  <c r="I84" i="1"/>
  <c r="I85" i="1" s="1"/>
  <c r="I86" i="1" s="1"/>
  <c r="I88" i="1" s="1"/>
  <c r="I49" i="1" l="1"/>
  <c r="N49" i="1"/>
  <c r="G20" i="12"/>
  <c r="D20" i="12"/>
  <c r="G19" i="12"/>
  <c r="G18" i="12"/>
  <c r="G17" i="12"/>
  <c r="D17" i="12"/>
  <c r="D19" i="12" s="1"/>
  <c r="G16" i="12"/>
  <c r="G21" i="12" l="1"/>
  <c r="F104" i="1" l="1"/>
  <c r="I47" i="1" l="1"/>
  <c r="N47" i="1"/>
  <c r="F126" i="1"/>
  <c r="F124" i="1"/>
  <c r="G124" i="1" s="1"/>
  <c r="I124" i="1" s="1"/>
  <c r="G125" i="1"/>
  <c r="I125" i="1" s="1"/>
  <c r="G126" i="1"/>
  <c r="I126" i="1" s="1"/>
  <c r="F106" i="1"/>
  <c r="F95" i="1"/>
  <c r="F98" i="1"/>
  <c r="F101" i="1" s="1"/>
  <c r="B132" i="1"/>
  <c r="B131" i="1"/>
  <c r="B130" i="1"/>
  <c r="F123" i="1"/>
  <c r="G123" i="1" s="1"/>
  <c r="I123" i="1" s="1"/>
  <c r="F122" i="1"/>
  <c r="G122" i="1" s="1"/>
  <c r="I122" i="1" s="1"/>
  <c r="C25" i="11"/>
  <c r="G21" i="11"/>
  <c r="F21" i="11"/>
  <c r="E21" i="11"/>
  <c r="F20" i="11"/>
  <c r="E20" i="11"/>
  <c r="D20" i="11"/>
  <c r="G18" i="11"/>
  <c r="F18" i="11"/>
  <c r="E18" i="11"/>
  <c r="G17" i="11"/>
  <c r="F17" i="11"/>
  <c r="E17" i="11"/>
  <c r="D17" i="11"/>
  <c r="G16" i="11"/>
  <c r="F16" i="11"/>
  <c r="E16" i="11"/>
  <c r="D16" i="11"/>
  <c r="G12" i="11"/>
  <c r="G14" i="11" s="1"/>
  <c r="F11" i="11"/>
  <c r="E11" i="11"/>
  <c r="D11" i="11"/>
  <c r="G9" i="11"/>
  <c r="G11" i="11" s="1"/>
  <c r="H8" i="11"/>
  <c r="H19" i="11" s="1"/>
  <c r="G8" i="11"/>
  <c r="G19" i="11" s="1"/>
  <c r="F8" i="11"/>
  <c r="F19" i="11" s="1"/>
  <c r="E8" i="11"/>
  <c r="E19" i="11" s="1"/>
  <c r="D8" i="11"/>
  <c r="G7" i="11"/>
  <c r="F7" i="11"/>
  <c r="E7" i="11"/>
  <c r="D7" i="11"/>
  <c r="D18" i="11" s="1"/>
  <c r="C7" i="11"/>
  <c r="H6" i="11"/>
  <c r="I6" i="11" s="1"/>
  <c r="G5" i="11"/>
  <c r="F5" i="11"/>
  <c r="E5" i="11"/>
  <c r="D5" i="11"/>
  <c r="H4" i="11"/>
  <c r="I4" i="11" s="1"/>
  <c r="D3" i="11"/>
  <c r="E3" i="11" s="1"/>
  <c r="F3" i="11" s="1"/>
  <c r="G3" i="11" s="1"/>
  <c r="H3" i="11" s="1"/>
  <c r="I3" i="11" s="1"/>
  <c r="J3" i="11" s="1"/>
  <c r="K3" i="11" s="1"/>
  <c r="L3" i="11" s="1"/>
  <c r="M3" i="11" s="1"/>
  <c r="N3" i="11" s="1"/>
  <c r="O3" i="11" s="1"/>
  <c r="P3" i="11" s="1"/>
  <c r="M74" i="1"/>
  <c r="N74" i="1"/>
  <c r="O74" i="1"/>
  <c r="P74" i="1"/>
  <c r="Q74" i="1"/>
  <c r="R74" i="1"/>
  <c r="S74" i="1"/>
  <c r="T74" i="1"/>
  <c r="L74" i="1"/>
  <c r="F14" i="1"/>
  <c r="F13" i="1"/>
  <c r="F10" i="1"/>
  <c r="F9" i="1"/>
  <c r="F11" i="1" s="1"/>
  <c r="F10" i="10"/>
  <c r="E10" i="10"/>
  <c r="D10" i="10"/>
  <c r="C10" i="10"/>
  <c r="B10" i="10"/>
  <c r="F10" i="9"/>
  <c r="E10" i="9"/>
  <c r="D10" i="9"/>
  <c r="C10" i="9"/>
  <c r="B10" i="9"/>
  <c r="C10" i="8"/>
  <c r="D10" i="8"/>
  <c r="E10" i="8"/>
  <c r="F10" i="8"/>
  <c r="B10" i="8"/>
  <c r="C129" i="1" l="1"/>
  <c r="C130" i="1"/>
  <c r="C132" i="1" s="1"/>
  <c r="F29" i="1"/>
  <c r="F30" i="1"/>
  <c r="F31" i="1"/>
  <c r="F100" i="1"/>
  <c r="J4" i="11"/>
  <c r="I5" i="11"/>
  <c r="I12" i="11"/>
  <c r="I14" i="11" s="1"/>
  <c r="I7" i="11"/>
  <c r="I8" i="11"/>
  <c r="I19" i="11" s="1"/>
  <c r="J6" i="11"/>
  <c r="H5" i="11"/>
  <c r="H7" i="11"/>
  <c r="H18" i="11" s="1"/>
  <c r="H12" i="11"/>
  <c r="H14" i="11" s="1"/>
  <c r="F15" i="1"/>
  <c r="F34" i="1"/>
  <c r="C39" i="8"/>
  <c r="D39" i="8"/>
  <c r="E39" i="8"/>
  <c r="F39" i="8"/>
  <c r="F20" i="1" s="1"/>
  <c r="F32" i="1" s="1"/>
  <c r="B39" i="8"/>
  <c r="C38" i="8"/>
  <c r="D38" i="8"/>
  <c r="E38" i="8"/>
  <c r="F38" i="8"/>
  <c r="F19" i="1" s="1"/>
  <c r="B38" i="8"/>
  <c r="F113" i="1" l="1"/>
  <c r="F115" i="1" s="1"/>
  <c r="F33" i="1"/>
  <c r="J12" i="11"/>
  <c r="J14" i="11" s="1"/>
  <c r="J7" i="11"/>
  <c r="J18" i="11" s="1"/>
  <c r="K6" i="11"/>
  <c r="J8" i="11"/>
  <c r="J19" i="11" s="1"/>
  <c r="I18" i="11"/>
  <c r="J5" i="11"/>
  <c r="K4" i="11"/>
  <c r="F16" i="1"/>
  <c r="F17" i="1" s="1"/>
  <c r="F22" i="1" s="1"/>
  <c r="G8" i="1"/>
  <c r="N42" i="1" l="1"/>
  <c r="L4" i="11"/>
  <c r="K5" i="11"/>
  <c r="K12" i="11"/>
  <c r="K14" i="11" s="1"/>
  <c r="K7" i="11"/>
  <c r="K18" i="11" s="1"/>
  <c r="K8" i="11"/>
  <c r="K19" i="11" s="1"/>
  <c r="L6" i="11"/>
  <c r="G20" i="1"/>
  <c r="G9" i="1"/>
  <c r="C12" i="11" s="1"/>
  <c r="G10" i="1"/>
  <c r="G19" i="1"/>
  <c r="G33" i="1" s="1"/>
  <c r="G14" i="1"/>
  <c r="G13" i="1"/>
  <c r="H8" i="1"/>
  <c r="F58" i="1"/>
  <c r="F26" i="1"/>
  <c r="G26" i="1" s="1"/>
  <c r="H26" i="1" s="1"/>
  <c r="I26" i="1" s="1"/>
  <c r="J26" i="1" s="1"/>
  <c r="K26" i="1" s="1"/>
  <c r="L26" i="1" s="1"/>
  <c r="M26" i="1" s="1"/>
  <c r="N26" i="1" s="1"/>
  <c r="O26" i="1" s="1"/>
  <c r="P26" i="1" s="1"/>
  <c r="Q26" i="1" s="1"/>
  <c r="R26" i="1" s="1"/>
  <c r="S26" i="1" s="1"/>
  <c r="T26" i="1" s="1"/>
  <c r="I42" i="1" l="1"/>
  <c r="G30" i="1"/>
  <c r="G31" i="1"/>
  <c r="G32" i="1"/>
  <c r="G29" i="1"/>
  <c r="X30" i="1"/>
  <c r="L30" i="1" s="1"/>
  <c r="M30" i="1" s="1"/>
  <c r="N30" i="1" s="1"/>
  <c r="O30" i="1" s="1"/>
  <c r="P30" i="1" s="1"/>
  <c r="Q30" i="1" s="1"/>
  <c r="R30" i="1" s="1"/>
  <c r="S30" i="1" s="1"/>
  <c r="T30" i="1" s="1"/>
  <c r="X29" i="1"/>
  <c r="L29" i="1" s="1"/>
  <c r="M29" i="1" s="1"/>
  <c r="N29" i="1" s="1"/>
  <c r="O29" i="1" s="1"/>
  <c r="P29" i="1" s="1"/>
  <c r="Q29" i="1" s="1"/>
  <c r="R29" i="1" s="1"/>
  <c r="S29" i="1" s="1"/>
  <c r="T29" i="1" s="1"/>
  <c r="X33" i="1"/>
  <c r="L33" i="1" s="1"/>
  <c r="M33" i="1" s="1"/>
  <c r="N33" i="1" s="1"/>
  <c r="O33" i="1" s="1"/>
  <c r="P33" i="1" s="1"/>
  <c r="Q33" i="1" s="1"/>
  <c r="R33" i="1" s="1"/>
  <c r="S33" i="1" s="1"/>
  <c r="T33" i="1" s="1"/>
  <c r="X32" i="1"/>
  <c r="L32" i="1" s="1"/>
  <c r="M32" i="1" s="1"/>
  <c r="N32" i="1" s="1"/>
  <c r="O32" i="1" s="1"/>
  <c r="P32" i="1" s="1"/>
  <c r="Q32" i="1" s="1"/>
  <c r="R32" i="1" s="1"/>
  <c r="S32" i="1" s="1"/>
  <c r="T32" i="1" s="1"/>
  <c r="C14" i="11"/>
  <c r="C13" i="11"/>
  <c r="M4" i="11"/>
  <c r="L5" i="11"/>
  <c r="L8" i="11"/>
  <c r="L19" i="11" s="1"/>
  <c r="L12" i="11"/>
  <c r="L14" i="11" s="1"/>
  <c r="M6" i="11"/>
  <c r="L7" i="11"/>
  <c r="L18" i="11" s="1"/>
  <c r="G58" i="1"/>
  <c r="F59" i="1"/>
  <c r="F64" i="1"/>
  <c r="F61" i="1"/>
  <c r="F65" i="1"/>
  <c r="F60" i="1"/>
  <c r="H9" i="1"/>
  <c r="D12" i="11" s="1"/>
  <c r="H19" i="1"/>
  <c r="H10" i="1"/>
  <c r="H14" i="1"/>
  <c r="H20" i="1"/>
  <c r="H13" i="1"/>
  <c r="G11" i="1"/>
  <c r="G28" i="1"/>
  <c r="I8" i="1"/>
  <c r="F73" i="1"/>
  <c r="G73" i="1" s="1"/>
  <c r="H73" i="1" s="1"/>
  <c r="I73" i="1" s="1"/>
  <c r="J73" i="1" s="1"/>
  <c r="K73" i="1" s="1"/>
  <c r="L73" i="1" s="1"/>
  <c r="M73" i="1" s="1"/>
  <c r="N73" i="1" s="1"/>
  <c r="O73" i="1" s="1"/>
  <c r="P73" i="1" s="1"/>
  <c r="Q73" i="1" s="1"/>
  <c r="R73" i="1" s="1"/>
  <c r="S73" i="1" s="1"/>
  <c r="T73" i="1" s="1"/>
  <c r="D14" i="11" l="1"/>
  <c r="D13" i="11"/>
  <c r="F66" i="1"/>
  <c r="H32" i="1"/>
  <c r="H31" i="1"/>
  <c r="N4" i="11"/>
  <c r="M5" i="11"/>
  <c r="M8" i="11"/>
  <c r="M19" i="11" s="1"/>
  <c r="M12" i="11"/>
  <c r="M14" i="11" s="1"/>
  <c r="N6" i="11"/>
  <c r="M7" i="11"/>
  <c r="M18" i="11" s="1"/>
  <c r="H29" i="1"/>
  <c r="H33" i="1"/>
  <c r="H11" i="1"/>
  <c r="H28" i="1"/>
  <c r="H30" i="1"/>
  <c r="I19" i="1"/>
  <c r="I10" i="1"/>
  <c r="I14" i="1"/>
  <c r="I9" i="1"/>
  <c r="E12" i="11" s="1"/>
  <c r="I20" i="1"/>
  <c r="I32" i="1" s="1"/>
  <c r="I13" i="1"/>
  <c r="I30" i="1" s="1"/>
  <c r="G34" i="1"/>
  <c r="G15" i="1"/>
  <c r="F62" i="1"/>
  <c r="H58" i="1"/>
  <c r="G64" i="1"/>
  <c r="G61" i="1"/>
  <c r="G59" i="1"/>
  <c r="G65" i="1"/>
  <c r="G60" i="1"/>
  <c r="J8" i="1"/>
  <c r="I31" i="1" l="1"/>
  <c r="F68" i="1"/>
  <c r="F74" i="1" s="1"/>
  <c r="G66" i="1"/>
  <c r="E14" i="11"/>
  <c r="E13" i="11"/>
  <c r="O4" i="11"/>
  <c r="N5" i="11"/>
  <c r="N8" i="11"/>
  <c r="N19" i="11" s="1"/>
  <c r="O6" i="11"/>
  <c r="N7" i="11"/>
  <c r="N18" i="11" s="1"/>
  <c r="N12" i="11"/>
  <c r="N14" i="11" s="1"/>
  <c r="I29" i="1"/>
  <c r="G62" i="1"/>
  <c r="G16" i="1"/>
  <c r="G17" i="1" s="1"/>
  <c r="I58" i="1"/>
  <c r="H59" i="1"/>
  <c r="H64" i="1"/>
  <c r="H61" i="1"/>
  <c r="H60" i="1"/>
  <c r="H65" i="1"/>
  <c r="J19" i="1"/>
  <c r="J10" i="1"/>
  <c r="J9" i="1"/>
  <c r="J14" i="1"/>
  <c r="J13" i="1"/>
  <c r="J20" i="1"/>
  <c r="I33" i="1"/>
  <c r="I11" i="1"/>
  <c r="I28" i="1"/>
  <c r="H15" i="1"/>
  <c r="H34" i="1"/>
  <c r="K8" i="1"/>
  <c r="L8" i="1" s="1"/>
  <c r="M8" i="1" s="1"/>
  <c r="N8" i="1" s="1"/>
  <c r="O8" i="1" s="1"/>
  <c r="P8" i="1" s="1"/>
  <c r="Q8" i="1" s="1"/>
  <c r="R8" i="1" s="1"/>
  <c r="S8" i="1" s="1"/>
  <c r="T8" i="1" s="1"/>
  <c r="G68" i="1" l="1"/>
  <c r="G74" i="1" s="1"/>
  <c r="K9" i="1"/>
  <c r="F12" i="11"/>
  <c r="P4" i="11"/>
  <c r="P5" i="11" s="1"/>
  <c r="O5" i="11"/>
  <c r="O8" i="11"/>
  <c r="O19" i="11" s="1"/>
  <c r="P6" i="11"/>
  <c r="O12" i="11"/>
  <c r="O14" i="11" s="1"/>
  <c r="O7" i="11"/>
  <c r="O18" i="11" s="1"/>
  <c r="J32" i="1"/>
  <c r="J11" i="1"/>
  <c r="J28" i="1"/>
  <c r="J33" i="1"/>
  <c r="J29" i="1"/>
  <c r="J58" i="1"/>
  <c r="I64" i="1"/>
  <c r="I59" i="1"/>
  <c r="I61" i="1"/>
  <c r="I60" i="1"/>
  <c r="I65" i="1"/>
  <c r="J31" i="1"/>
  <c r="H66" i="1"/>
  <c r="H16" i="1"/>
  <c r="H17" i="1" s="1"/>
  <c r="I34" i="1"/>
  <c r="I15" i="1"/>
  <c r="J30" i="1"/>
  <c r="H62" i="1"/>
  <c r="I62" i="1" l="1"/>
  <c r="G69" i="1"/>
  <c r="G21" i="1" s="1"/>
  <c r="G22" i="1" s="1"/>
  <c r="F14" i="11"/>
  <c r="F13" i="11"/>
  <c r="L9" i="1"/>
  <c r="K14" i="1"/>
  <c r="K68" i="1"/>
  <c r="K13" i="1"/>
  <c r="K10" i="1"/>
  <c r="K11" i="1" s="1"/>
  <c r="K20" i="1"/>
  <c r="K19" i="1" s="1"/>
  <c r="C27" i="11"/>
  <c r="P8" i="11"/>
  <c r="P19" i="11" s="1"/>
  <c r="P12" i="11"/>
  <c r="P14" i="11" s="1"/>
  <c r="P7" i="11"/>
  <c r="P18" i="11" s="1"/>
  <c r="I66" i="1"/>
  <c r="K58" i="1"/>
  <c r="L58" i="1" s="1"/>
  <c r="M58" i="1" s="1"/>
  <c r="N58" i="1" s="1"/>
  <c r="O58" i="1" s="1"/>
  <c r="P58" i="1" s="1"/>
  <c r="Q58" i="1" s="1"/>
  <c r="R58" i="1" s="1"/>
  <c r="S58" i="1" s="1"/>
  <c r="T58" i="1" s="1"/>
  <c r="J64" i="1"/>
  <c r="J59" i="1"/>
  <c r="J61" i="1"/>
  <c r="J60" i="1"/>
  <c r="J65" i="1"/>
  <c r="I16" i="1"/>
  <c r="I17" i="1" s="1"/>
  <c r="H68" i="1"/>
  <c r="J34" i="1"/>
  <c r="J15" i="1"/>
  <c r="I68" i="1" l="1"/>
  <c r="K15" i="1"/>
  <c r="K34" i="1"/>
  <c r="L10" i="1"/>
  <c r="L11" i="1" s="1"/>
  <c r="L13" i="1"/>
  <c r="M9" i="1"/>
  <c r="L68" i="1"/>
  <c r="L69" i="1" s="1"/>
  <c r="L21" i="1" s="1"/>
  <c r="L20" i="1"/>
  <c r="L19" i="1" s="1"/>
  <c r="L14" i="1"/>
  <c r="H74" i="1"/>
  <c r="H69" i="1"/>
  <c r="H21" i="1" s="1"/>
  <c r="H22" i="1" s="1"/>
  <c r="I74" i="1"/>
  <c r="I69" i="1"/>
  <c r="I21" i="1" s="1"/>
  <c r="I22" i="1" s="1"/>
  <c r="J66" i="1"/>
  <c r="J16" i="1"/>
  <c r="J17" i="1" s="1"/>
  <c r="J62" i="1"/>
  <c r="L15" i="1" l="1"/>
  <c r="L16" i="1" s="1"/>
  <c r="L17" i="1" s="1"/>
  <c r="L22" i="1" s="1"/>
  <c r="L34" i="1"/>
  <c r="N9" i="1"/>
  <c r="M10" i="1"/>
  <c r="M11" i="1" s="1"/>
  <c r="M13" i="1"/>
  <c r="M68" i="1"/>
  <c r="M69" i="1" s="1"/>
  <c r="M14" i="1"/>
  <c r="M20" i="1"/>
  <c r="M19" i="1" s="1"/>
  <c r="J68" i="1"/>
  <c r="K69" i="1" s="1"/>
  <c r="K21" i="1" s="1"/>
  <c r="K16" i="1"/>
  <c r="K17" i="1" s="1"/>
  <c r="J74" i="1" l="1"/>
  <c r="J69" i="1"/>
  <c r="J21" i="1" s="1"/>
  <c r="J22" i="1" s="1"/>
  <c r="M21" i="1"/>
  <c r="O9" i="1"/>
  <c r="N10" i="1"/>
  <c r="N11" i="1" s="1"/>
  <c r="N13" i="1"/>
  <c r="N14" i="1"/>
  <c r="N68" i="1"/>
  <c r="N69" i="1" s="1"/>
  <c r="N21" i="1" s="1"/>
  <c r="N20" i="1"/>
  <c r="N19" i="1" s="1"/>
  <c r="K22" i="1"/>
  <c r="M15" i="1"/>
  <c r="M34" i="1"/>
  <c r="M16" i="1" l="1"/>
  <c r="M17" i="1" s="1"/>
  <c r="M22" i="1" s="1"/>
  <c r="P9" i="1"/>
  <c r="O10" i="1"/>
  <c r="O11" i="1" s="1"/>
  <c r="O13" i="1"/>
  <c r="O14" i="1"/>
  <c r="O68" i="1"/>
  <c r="O69" i="1" s="1"/>
  <c r="O21" i="1" s="1"/>
  <c r="O20" i="1"/>
  <c r="O19" i="1" s="1"/>
  <c r="N15" i="1"/>
  <c r="N16" i="1" s="1"/>
  <c r="N17" i="1" s="1"/>
  <c r="N22" i="1" s="1"/>
  <c r="N34" i="1"/>
  <c r="O15" i="1" l="1"/>
  <c r="O34" i="1"/>
  <c r="Q9" i="1"/>
  <c r="P10" i="1"/>
  <c r="P13" i="1"/>
  <c r="P14" i="1"/>
  <c r="P68" i="1"/>
  <c r="P69" i="1" s="1"/>
  <c r="P21" i="1" s="1"/>
  <c r="P20" i="1"/>
  <c r="P19" i="1" s="1"/>
  <c r="P11" i="1"/>
  <c r="P15" i="1" l="1"/>
  <c r="P16" i="1" s="1"/>
  <c r="P17" i="1" s="1"/>
  <c r="P22" i="1" s="1"/>
  <c r="P34" i="1"/>
  <c r="O16" i="1"/>
  <c r="O17" i="1" s="1"/>
  <c r="O22" i="1" s="1"/>
  <c r="R9" i="1"/>
  <c r="Q10" i="1"/>
  <c r="Q11" i="1" s="1"/>
  <c r="Q13" i="1"/>
  <c r="Q68" i="1"/>
  <c r="Q69" i="1" s="1"/>
  <c r="Q21" i="1" s="1"/>
  <c r="Q20" i="1"/>
  <c r="Q19" i="1" s="1"/>
  <c r="Q14" i="1"/>
  <c r="Q15" i="1" l="1"/>
  <c r="Q16" i="1" s="1"/>
  <c r="Q17" i="1" s="1"/>
  <c r="Q22" i="1" s="1"/>
  <c r="Q34" i="1"/>
  <c r="S9" i="1"/>
  <c r="R14" i="1"/>
  <c r="R10" i="1"/>
  <c r="R11" i="1" s="1"/>
  <c r="R13" i="1"/>
  <c r="R68" i="1"/>
  <c r="R69" i="1" s="1"/>
  <c r="R21" i="1" s="1"/>
  <c r="R20" i="1"/>
  <c r="R19" i="1" s="1"/>
  <c r="T9" i="1" l="1"/>
  <c r="S14" i="1"/>
  <c r="S13" i="1"/>
  <c r="S10" i="1"/>
  <c r="S11" i="1" s="1"/>
  <c r="S68" i="1"/>
  <c r="S69" i="1" s="1"/>
  <c r="S21" i="1" s="1"/>
  <c r="S20" i="1"/>
  <c r="S19" i="1" s="1"/>
  <c r="R15" i="1"/>
  <c r="R16" i="1" s="1"/>
  <c r="R17" i="1" s="1"/>
  <c r="R22" i="1" s="1"/>
  <c r="R34" i="1"/>
  <c r="S15" i="1" l="1"/>
  <c r="S16" i="1" s="1"/>
  <c r="S17" i="1" s="1"/>
  <c r="S22" i="1" s="1"/>
  <c r="S34" i="1"/>
  <c r="T14" i="1"/>
  <c r="T10" i="1"/>
  <c r="T11" i="1" s="1"/>
  <c r="T13" i="1"/>
  <c r="T20" i="1"/>
  <c r="T19" i="1" s="1"/>
  <c r="T68" i="1"/>
  <c r="T69" i="1" s="1"/>
  <c r="T21" i="1" s="1"/>
  <c r="T15" i="1" l="1"/>
  <c r="T34" i="1"/>
  <c r="T16" i="1" l="1"/>
  <c r="T17" i="1" s="1"/>
  <c r="T22" i="1" s="1"/>
  <c r="N39" i="1"/>
  <c r="N41" i="1" s="1"/>
  <c r="N43" i="1" s="1"/>
  <c r="I39" i="1" l="1"/>
  <c r="I41" i="1" s="1"/>
  <c r="I43" i="1" s="1"/>
  <c r="I45" i="1"/>
  <c r="N45" i="1"/>
  <c r="N46" i="1" s="1"/>
  <c r="N48" i="1" s="1"/>
  <c r="N50" i="1" l="1"/>
  <c r="D151" i="1" s="1"/>
  <c r="S40" i="1"/>
  <c r="I46" i="1"/>
  <c r="I48" i="1" s="1"/>
  <c r="S46" i="1" l="1"/>
  <c r="S49" i="1" s="1"/>
  <c r="I50" i="1"/>
  <c r="G136" i="1" l="1"/>
  <c r="D157" i="1"/>
  <c r="E3" i="12" l="1"/>
  <c r="D16" i="12"/>
  <c r="D18" i="12"/>
  <c r="C23" i="12"/>
  <c r="C24" i="12"/>
  <c r="C26" i="12"/>
  <c r="C27" i="12"/>
  <c r="D29" i="12"/>
  <c r="E30" i="12"/>
  <c r="S42" i="1"/>
  <c r="S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Moore</author>
  </authors>
  <commentList>
    <comment ref="N40" authorId="0" shapeId="0" xr:uid="{E2DC7435-6D50-4A55-999C-C98F8C14BF81}">
      <text>
        <r>
          <rPr>
            <b/>
            <sz val="9"/>
            <color indexed="81"/>
            <rFont val="Tahoma"/>
            <family val="2"/>
          </rPr>
          <t>David Moore:</t>
        </r>
        <r>
          <rPr>
            <sz val="9"/>
            <color indexed="81"/>
            <rFont val="Tahoma"/>
            <family val="2"/>
          </rPr>
          <t xml:space="preserve">
Damodaran EV/EBITDA industry average. Healthcare products</t>
        </r>
      </text>
    </comment>
    <comment ref="F95" authorId="0" shapeId="0" xr:uid="{5C1E1B94-2640-48B1-BEFA-A3ADF135FC73}">
      <text>
        <r>
          <rPr>
            <b/>
            <sz val="9"/>
            <color indexed="81"/>
            <rFont val="Tahoma"/>
            <family val="2"/>
          </rPr>
          <t>David Moore:</t>
        </r>
        <r>
          <rPr>
            <sz val="9"/>
            <color indexed="81"/>
            <rFont val="Tahoma"/>
            <family val="2"/>
          </rPr>
          <t xml:space="preserve">
From 2022Q2 10Q</t>
        </r>
      </text>
    </comment>
    <comment ref="F96" authorId="0" shapeId="0" xr:uid="{66A71ECD-BB0F-48A7-8D3D-857A7919A7AC}">
      <text>
        <r>
          <rPr>
            <b/>
            <sz val="9"/>
            <color indexed="81"/>
            <rFont val="Tahoma"/>
            <family val="2"/>
          </rPr>
          <t>David Moore:</t>
        </r>
        <r>
          <rPr>
            <sz val="9"/>
            <color indexed="81"/>
            <rFont val="Tahoma"/>
            <family val="2"/>
          </rPr>
          <t xml:space="preserve">
Share price as of closing on 10/14/22</t>
        </r>
      </text>
    </comment>
    <comment ref="F97" authorId="0" shapeId="0" xr:uid="{1816E5A5-5781-4FFE-83A0-21C59F014F0A}">
      <text>
        <r>
          <rPr>
            <b/>
            <sz val="9"/>
            <color indexed="81"/>
            <rFont val="Tahoma"/>
            <family val="2"/>
          </rPr>
          <t>David Moore:</t>
        </r>
        <r>
          <rPr>
            <sz val="9"/>
            <color indexed="81"/>
            <rFont val="Tahoma"/>
            <family val="2"/>
          </rPr>
          <t xml:space="preserve">
From 2022Q2 10Q</t>
        </r>
      </text>
    </comment>
    <comment ref="F105" authorId="0" shapeId="0" xr:uid="{C748B436-C8AD-435B-9858-A71BDC160B44}">
      <text>
        <r>
          <rPr>
            <b/>
            <sz val="9"/>
            <color indexed="81"/>
            <rFont val="Tahoma"/>
            <family val="2"/>
          </rPr>
          <t xml:space="preserve">David Moore:
</t>
        </r>
        <r>
          <rPr>
            <sz val="9"/>
            <color indexed="81"/>
            <rFont val="Tahoma"/>
            <family val="2"/>
          </rPr>
          <t>Damodaran Default Spread Table using interest coverage ratio above</t>
        </r>
      </text>
    </comment>
    <comment ref="F110" authorId="0" shapeId="0" xr:uid="{96707D7D-F4F1-4144-9768-CED8968B1F8A}">
      <text>
        <r>
          <rPr>
            <b/>
            <sz val="9"/>
            <color indexed="81"/>
            <rFont val="Tahoma"/>
            <family val="2"/>
          </rPr>
          <t>David Moore:</t>
        </r>
        <r>
          <rPr>
            <sz val="9"/>
            <color indexed="81"/>
            <rFont val="Tahoma"/>
            <family val="2"/>
          </rPr>
          <t xml:space="preserve">
Proxy 10-yr Treasury Note. Source WSJ on 10/14/2022</t>
        </r>
      </text>
    </comment>
    <comment ref="F111" authorId="0" shapeId="0" xr:uid="{7C5A07AC-C7DE-4013-8365-DDF94D4537E0}">
      <text>
        <r>
          <rPr>
            <b/>
            <sz val="9"/>
            <color indexed="81"/>
            <rFont val="Tahoma"/>
            <family val="2"/>
          </rPr>
          <t>David Moore:</t>
        </r>
        <r>
          <rPr>
            <sz val="9"/>
            <color indexed="81"/>
            <rFont val="Tahoma"/>
            <family val="2"/>
          </rPr>
          <t xml:space="preserve">
Implied ERP from Damodaran (trailing 12 month with payout)</t>
        </r>
      </text>
    </comment>
    <comment ref="E121" authorId="0" shapeId="0" xr:uid="{AEF7FED4-18CD-4F23-A015-8A61C36C3FFE}">
      <text>
        <r>
          <rPr>
            <b/>
            <sz val="9"/>
            <color indexed="81"/>
            <rFont val="Tahoma"/>
            <family val="2"/>
          </rPr>
          <t>David Moore:</t>
        </r>
        <r>
          <rPr>
            <sz val="9"/>
            <color indexed="81"/>
            <rFont val="Tahoma"/>
            <family val="2"/>
          </rPr>
          <t xml:space="preserve">
In millions
</t>
        </r>
      </text>
    </comment>
    <comment ref="F121" authorId="0" shapeId="0" xr:uid="{6C9C2E6D-3588-45A4-AF3C-6209FF4501AD}">
      <text>
        <r>
          <rPr>
            <b/>
            <sz val="9"/>
            <color indexed="81"/>
            <rFont val="Tahoma"/>
            <family val="2"/>
          </rPr>
          <t>David Moore:</t>
        </r>
        <r>
          <rPr>
            <sz val="9"/>
            <color indexed="81"/>
            <rFont val="Tahoma"/>
            <family val="2"/>
          </rPr>
          <t xml:space="preserve">
In millions
</t>
        </r>
      </text>
    </comment>
    <comment ref="H121" authorId="0" shapeId="0" xr:uid="{EDA7B3A5-4932-445D-B0A3-F6F12A8C94FE}">
      <text>
        <r>
          <rPr>
            <b/>
            <sz val="9"/>
            <color indexed="81"/>
            <rFont val="Tahoma"/>
            <family val="2"/>
          </rPr>
          <t>David Moore:</t>
        </r>
        <r>
          <rPr>
            <sz val="9"/>
            <color indexed="81"/>
            <rFont val="Tahoma"/>
            <family val="2"/>
          </rPr>
          <t xml:space="preserve">
From yahoo finance: 5Y monthly</t>
        </r>
      </text>
    </comment>
    <comment ref="J150" authorId="0" shapeId="0" xr:uid="{99A98E91-229A-452F-968E-EE0A8BC2F33F}">
      <text>
        <r>
          <rPr>
            <b/>
            <sz val="9"/>
            <color indexed="81"/>
            <rFont val="Tahoma"/>
            <family val="2"/>
          </rPr>
          <t>David Moore:</t>
        </r>
        <r>
          <rPr>
            <sz val="9"/>
            <color indexed="81"/>
            <rFont val="Tahoma"/>
            <family val="2"/>
          </rPr>
          <t xml:space="preserve">
Damodaran EV/EBITDA industry average. Healthcare products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Moore</author>
  </authors>
  <commentList>
    <comment ref="G4" authorId="0" shapeId="0" xr:uid="{5A38BC33-24CF-4EBF-B522-B79A80311E7A}">
      <text>
        <r>
          <rPr>
            <b/>
            <sz val="9"/>
            <color indexed="81"/>
            <rFont val="Tahoma"/>
            <family val="2"/>
          </rPr>
          <t>David Moore:</t>
        </r>
        <r>
          <rPr>
            <sz val="9"/>
            <color indexed="81"/>
            <rFont val="Tahoma"/>
            <family val="2"/>
          </rPr>
          <t xml:space="preserve">
From 2022 Q2 Earnings Call</t>
        </r>
      </text>
    </comment>
    <comment ref="G6" authorId="0" shapeId="0" xr:uid="{42E22D37-0505-465B-8B1E-C5F6F2DEC030}">
      <text>
        <r>
          <rPr>
            <b/>
            <sz val="9"/>
            <color indexed="81"/>
            <rFont val="Tahoma"/>
            <family val="2"/>
          </rPr>
          <t>David Moore:</t>
        </r>
        <r>
          <rPr>
            <sz val="9"/>
            <color indexed="81"/>
            <rFont val="Tahoma"/>
            <family val="2"/>
          </rPr>
          <t xml:space="preserve">
From 2022 Q2 Earnings Call</t>
        </r>
      </text>
    </comment>
    <comment ref="G10" authorId="0" shapeId="0" xr:uid="{D2575E4C-D396-42B9-A869-D7E3BBB86F22}">
      <text>
        <r>
          <rPr>
            <b/>
            <sz val="9"/>
            <color indexed="81"/>
            <rFont val="Tahoma"/>
            <family val="2"/>
          </rPr>
          <t>David Moore:</t>
        </r>
        <r>
          <rPr>
            <sz val="9"/>
            <color indexed="81"/>
            <rFont val="Tahoma"/>
            <family val="2"/>
          </rPr>
          <t xml:space="preserve">
From 2022 Q2 Earnings Call</t>
        </r>
      </text>
    </comment>
    <comment ref="G20" authorId="0" shapeId="0" xr:uid="{5B535BDE-5E83-42EC-8BD0-F1D2C701A0EB}">
      <text>
        <r>
          <rPr>
            <b/>
            <sz val="9"/>
            <color indexed="81"/>
            <rFont val="Tahoma"/>
            <family val="2"/>
          </rPr>
          <t>David Moore:</t>
        </r>
        <r>
          <rPr>
            <sz val="9"/>
            <color indexed="81"/>
            <rFont val="Tahoma"/>
            <family val="2"/>
          </rPr>
          <t xml:space="preserve">
Estimate based on historical growth and sales territory growth (70 to 75 from 58)</t>
        </r>
      </text>
    </comment>
    <comment ref="C24" authorId="0" shapeId="0" xr:uid="{86577D43-9ED7-4F2F-904A-1496A5BD13D8}">
      <text>
        <r>
          <rPr>
            <b/>
            <sz val="9"/>
            <color indexed="81"/>
            <rFont val="Tahoma"/>
            <family val="2"/>
          </rPr>
          <t>David Moore:</t>
        </r>
        <r>
          <rPr>
            <sz val="9"/>
            <color indexed="81"/>
            <rFont val="Tahoma"/>
            <family val="2"/>
          </rPr>
          <t xml:space="preserve">
David Moore:
https://www.abms.org/wp-content/uploads/2022/01/ABMS-Board-Certification-Report-2020-2021.pdf
</t>
        </r>
      </text>
    </comment>
    <comment ref="C26" authorId="0" shapeId="0" xr:uid="{0FCA3A0D-5811-4335-8637-092758A4F891}">
      <text>
        <r>
          <rPr>
            <b/>
            <sz val="9"/>
            <color indexed="81"/>
            <rFont val="Tahoma"/>
            <family val="2"/>
          </rPr>
          <t>David Moore:</t>
        </r>
        <r>
          <rPr>
            <sz val="9"/>
            <color indexed="81"/>
            <rFont val="Tahoma"/>
            <family val="2"/>
          </rPr>
          <t xml:space="preserve">
SILK Q2 earnings call
 </t>
        </r>
      </text>
    </comment>
    <comment ref="C28" authorId="0" shapeId="0" xr:uid="{14F870CD-2848-44ED-BFA0-C7EBB5A721DA}">
      <text>
        <r>
          <rPr>
            <b/>
            <sz val="9"/>
            <color indexed="81"/>
            <rFont val="Tahoma"/>
            <family val="2"/>
          </rPr>
          <t>David Moore:</t>
        </r>
        <r>
          <rPr>
            <sz val="9"/>
            <color indexed="81"/>
            <rFont val="Tahoma"/>
            <family val="2"/>
          </rPr>
          <t xml:space="preserve">
https://www.abms.org/wp-content/uploads/2022/01/ABMS-Board-Certification-Report-2020-2021.pdf</t>
        </r>
      </text>
    </comment>
  </commentList>
</comments>
</file>

<file path=xl/sharedStrings.xml><?xml version="1.0" encoding="utf-8"?>
<sst xmlns="http://schemas.openxmlformats.org/spreadsheetml/2006/main" count="975" uniqueCount="492">
  <si>
    <t>Sales Growth</t>
  </si>
  <si>
    <t>Step</t>
  </si>
  <si>
    <t>Terminal growth rate</t>
  </si>
  <si>
    <t>Terminal Value - Perpetuity Growth</t>
  </si>
  <si>
    <t>Non-cash NWC as a % of Sale</t>
  </si>
  <si>
    <t>Projected</t>
  </si>
  <si>
    <t>Historical</t>
  </si>
  <si>
    <t>Change in NWC</t>
  </si>
  <si>
    <t>Non-cash Net Working Capital</t>
  </si>
  <si>
    <t>Total non-debt current liabilities</t>
  </si>
  <si>
    <t>Total current liabilities</t>
  </si>
  <si>
    <t>Total non-cash current assets</t>
  </si>
  <si>
    <t>Short-term investments</t>
  </si>
  <si>
    <t>Cash &amp; cash equivalents</t>
  </si>
  <si>
    <t>Total current assets</t>
  </si>
  <si>
    <t>WORKING CAPITAL SCHEDULE</t>
  </si>
  <si>
    <t>Implied Equity Value per Share</t>
  </si>
  <si>
    <t>Diluted Shares Outstanding</t>
  </si>
  <si>
    <t>Implied Equity Value</t>
  </si>
  <si>
    <t>Net debt + Preferred stock + NCI</t>
  </si>
  <si>
    <t>Total Enterprise Value</t>
  </si>
  <si>
    <t>PV of Unlevered Free Cash Flows</t>
  </si>
  <si>
    <t>PV of Terminal Value</t>
  </si>
  <si>
    <t>Terminal value</t>
  </si>
  <si>
    <t>Terminal year EBITDA multiple</t>
  </si>
  <si>
    <t>Terminal year EBITDA</t>
  </si>
  <si>
    <t>Unlevered FCF in terminal year</t>
  </si>
  <si>
    <t>Terminal Value - Exit Multiple</t>
  </si>
  <si>
    <t>TERMINAL VALUE AND EQUITY VALUE PER SHARE</t>
  </si>
  <si>
    <t>Gross margin</t>
  </si>
  <si>
    <t>Depreciation and amortization (as % of capex)</t>
  </si>
  <si>
    <t>Capex (as % of revenues)</t>
  </si>
  <si>
    <t>Assumptions</t>
  </si>
  <si>
    <t>Unlevered free cash flows</t>
  </si>
  <si>
    <t>Change in Net Working Capital</t>
  </si>
  <si>
    <t>Capex</t>
  </si>
  <si>
    <t>Depreciation and amortization</t>
  </si>
  <si>
    <t>Tax-effected EBIT</t>
  </si>
  <si>
    <t>Taxes</t>
  </si>
  <si>
    <t>EBIT</t>
  </si>
  <si>
    <t>Gross Profit</t>
  </si>
  <si>
    <t>FORECASTING CASH FLOWS</t>
  </si>
  <si>
    <t>Silk Road Medical (SILK) DISCOUNTED CASH FLOWS MODEL</t>
  </si>
  <si>
    <t>Powered by Clearbit</t>
  </si>
  <si>
    <t>Silk Road Medical Inc (NMS: SILK)</t>
  </si>
  <si>
    <t xml:space="preserve">Exchange rate used is that of the Year End reported date </t>
  </si>
  <si>
    <t xml:space="preserve">As Reported Annual Income Statement </t>
  </si>
  <si>
    <t>Report Date</t>
  </si>
  <si>
    <t>12/31/2021</t>
  </si>
  <si>
    <t>12/31/2020</t>
  </si>
  <si>
    <t>12/31/2019</t>
  </si>
  <si>
    <t>12/31/2018</t>
  </si>
  <si>
    <t>12/31/2017</t>
  </si>
  <si>
    <t>Currency</t>
  </si>
  <si>
    <t>USD</t>
  </si>
  <si>
    <t>Audit Status</t>
  </si>
  <si>
    <t>Not Qualified</t>
  </si>
  <si>
    <t>Consolidated</t>
  </si>
  <si>
    <t>No</t>
  </si>
  <si>
    <t>Yes</t>
  </si>
  <si>
    <t>Scale</t>
  </si>
  <si>
    <t>Thousands</t>
  </si>
  <si>
    <t>Revenue</t>
  </si>
  <si>
    <t>Cost of goods sold</t>
  </si>
  <si>
    <t>Gross profit (loss)</t>
  </si>
  <si>
    <t>Research &amp; development expenses</t>
  </si>
  <si>
    <t>Selling, general &amp; administrative expenses</t>
  </si>
  <si>
    <t>Total operating expenses</t>
  </si>
  <si>
    <t>Income (loss) from operations</t>
  </si>
  <si>
    <t>Interest income</t>
  </si>
  <si>
    <t>Interest expense</t>
  </si>
  <si>
    <t>Gain (loss) on debt extinguishment</t>
  </si>
  <si>
    <t>-</t>
  </si>
  <si>
    <t>Other income (expense), net</t>
  </si>
  <si>
    <t>Net income (loss)</t>
  </si>
  <si>
    <t>Net loss (income) attributable to non-controlling interest</t>
  </si>
  <si>
    <t>Net income (loss) attributable to Silk Road Medical, Inc. common stockholders</t>
  </si>
  <si>
    <t>Weighted average shares outstanding - basic</t>
  </si>
  <si>
    <t>Weighted average shares outstanding - diluted</t>
  </si>
  <si>
    <t>Year end shares outstanding</t>
  </si>
  <si>
    <t>Net earnings (loss) per share - basic</t>
  </si>
  <si>
    <t>Net earnings (loss) per share - diluted</t>
  </si>
  <si>
    <t>Number of full time employees</t>
  </si>
  <si>
    <t>Number of common stockholders</t>
  </si>
  <si>
    <t xml:space="preserve">As Reported Annual Balance Sheet </t>
  </si>
  <si>
    <t>Accounts receivable, gross</t>
  </si>
  <si>
    <t>Allowance for doubtful accounts</t>
  </si>
  <si>
    <t>Accounts receivable, net</t>
  </si>
  <si>
    <t>Raw materials</t>
  </si>
  <si>
    <t>Finished goods</t>
  </si>
  <si>
    <t>Less: reserve for excess &amp; obsolete</t>
  </si>
  <si>
    <t>Inventories</t>
  </si>
  <si>
    <t>Prepaid expenses &amp; other current assets</t>
  </si>
  <si>
    <t>Long-term investments</t>
  </si>
  <si>
    <t>Furniture &amp; fixtures</t>
  </si>
  <si>
    <t>Equipment</t>
  </si>
  <si>
    <t>Software</t>
  </si>
  <si>
    <t>Leasehold improvements</t>
  </si>
  <si>
    <t>Total property &amp; equipment, gross</t>
  </si>
  <si>
    <t>Less: accumulated depreciation &amp; amortization</t>
  </si>
  <si>
    <t>Add: construction-in-progress</t>
  </si>
  <si>
    <t>Property &amp; equipment, net</t>
  </si>
  <si>
    <t>Restricted cash</t>
  </si>
  <si>
    <t>Other non-current assets</t>
  </si>
  <si>
    <t>Total assets</t>
  </si>
  <si>
    <t>Accounts payable</t>
  </si>
  <si>
    <t>Accrued payroll &amp; related expenses</t>
  </si>
  <si>
    <t>Provision for sales returns</t>
  </si>
  <si>
    <t>Accrued professional services</t>
  </si>
  <si>
    <t>Recall replacement obligation</t>
  </si>
  <si>
    <t>Operating lease liability</t>
  </si>
  <si>
    <t>Accrued royalty expense</t>
  </si>
  <si>
    <t>Deferred revenue</t>
  </si>
  <si>
    <t>Accrued travel expenses</t>
  </si>
  <si>
    <t>Accrued clinical expenses</t>
  </si>
  <si>
    <t>Accrued other expenses</t>
  </si>
  <si>
    <t>Accrued liabilities</t>
  </si>
  <si>
    <t>Short-term debt</t>
  </si>
  <si>
    <t>Long-term debt</t>
  </si>
  <si>
    <t>Redeemable convertible preferred stock warrant liability</t>
  </si>
  <si>
    <t>Other liabilities</t>
  </si>
  <si>
    <t>Total liabilities</t>
  </si>
  <si>
    <t>Liquidation preference</t>
  </si>
  <si>
    <t>Common stock</t>
  </si>
  <si>
    <t>Additional paid-in capital</t>
  </si>
  <si>
    <t>Accumulated other comprehensive income (loss)</t>
  </si>
  <si>
    <t>Retained earnings (accumulated deficit)</t>
  </si>
  <si>
    <t>Total stockholders' equity (deficit)</t>
  </si>
  <si>
    <t xml:space="preserve">As Reported Annual Cash Flow </t>
  </si>
  <si>
    <t>Depreciation &amp; amortization expense</t>
  </si>
  <si>
    <t>Stock-based compensation expense</t>
  </si>
  <si>
    <t>Change in fair value of redeemable convertible preferred stock warrant liability</t>
  </si>
  <si>
    <t>Amortization of premiums (accretion of discounts) on investments, net</t>
  </si>
  <si>
    <t>Amortization of debt discount &amp; debt issuance costs</t>
  </si>
  <si>
    <t>Amortization of right-of-use asset</t>
  </si>
  <si>
    <t>Non-cash interest expense</t>
  </si>
  <si>
    <t>Loss (gain) on debt extinguishment</t>
  </si>
  <si>
    <t>Loss (gain) on disposal of property &amp; equipment</t>
  </si>
  <si>
    <t>Provision for doubtful accounts receivable</t>
  </si>
  <si>
    <t>Provision for excess &amp; obsolete inventories</t>
  </si>
  <si>
    <t>Accounts receivable</t>
  </si>
  <si>
    <t>Other assets</t>
  </si>
  <si>
    <t>Repayment of interest paid in kind</t>
  </si>
  <si>
    <t>Net cash flows from operating activities</t>
  </si>
  <si>
    <t>Purchase of property &amp; equipment</t>
  </si>
  <si>
    <t>Proceeds from sale of property &amp; equipment</t>
  </si>
  <si>
    <t>Purchases of investments</t>
  </si>
  <si>
    <t>Proceeds from maturity of investments</t>
  </si>
  <si>
    <t>Net cash flows from investing activities</t>
  </si>
  <si>
    <t>Proceeds from public offerings, net of underwriting discount, commissions &amp; offering costs paid</t>
  </si>
  <si>
    <t>Proceeds from long-term debt, net</t>
  </si>
  <si>
    <t>Proceeds from issuance of common stock</t>
  </si>
  <si>
    <t>Proceeds from issuance of redeemable convertible preferred stock, net of issuance costs</t>
  </si>
  <si>
    <t>Proceeds from exercise of redeemable convertible preferred stock warrants</t>
  </si>
  <si>
    <t>Proceeds from exercise of common stock warrants</t>
  </si>
  <si>
    <t>Principal repayment of long-term debt</t>
  </si>
  <si>
    <t>Payments of prepayment penalty &amp; lender fees</t>
  </si>
  <si>
    <t>Proceeds from disgorgement of short-swing profits, net</t>
  </si>
  <si>
    <t>Non-controlling interest</t>
  </si>
  <si>
    <t>Net cash flows from financing activities</t>
  </si>
  <si>
    <t>Net change in cash, cash equivalents &amp; restricted cash</t>
  </si>
  <si>
    <t>Cash, cash equivalents &amp; restricted cash, beginning of year</t>
  </si>
  <si>
    <t>Cash, cash equivalents &amp; restricted cash, end of year</t>
  </si>
  <si>
    <t>Cash paid for interest</t>
  </si>
  <si>
    <t>Fiscal year ends in December USD in thousands except per share data.</t>
  </si>
  <si>
    <t>COGS (as % of revenues)</t>
  </si>
  <si>
    <t>SG&amp;A expenses (as % of revenues)</t>
  </si>
  <si>
    <t>R&amp;D expenses (as % of revenues)</t>
  </si>
  <si>
    <t>Physicians Trained</t>
  </si>
  <si>
    <t>New Physicians</t>
  </si>
  <si>
    <t>Procedures</t>
  </si>
  <si>
    <t>Procedures/Physician</t>
  </si>
  <si>
    <t>Procedures/Physician(excl. new)</t>
  </si>
  <si>
    <t>Hospitals</t>
  </si>
  <si>
    <t>Sales Territories</t>
  </si>
  <si>
    <t>Hospitals/Territory</t>
  </si>
  <si>
    <t>Revenue/procedure</t>
  </si>
  <si>
    <t>Revenue/Physician</t>
  </si>
  <si>
    <t>Physician Growth</t>
  </si>
  <si>
    <t>Procedure growth</t>
  </si>
  <si>
    <t xml:space="preserve">Change in Usage </t>
  </si>
  <si>
    <t>Change in Usage (exclude new)</t>
  </si>
  <si>
    <t xml:space="preserve">Change in hospitals </t>
  </si>
  <si>
    <t>Change in Sales Territories</t>
  </si>
  <si>
    <t>Other Stats</t>
  </si>
  <si>
    <t xml:space="preserve">Board certified in 2021 (by State) </t>
  </si>
  <si>
    <t>% of market trained in 2021</t>
  </si>
  <si>
    <t>Total addressable Market (Procedure)</t>
  </si>
  <si>
    <t>New surgeons per year (approx)</t>
  </si>
  <si>
    <t>Notes</t>
  </si>
  <si>
    <t xml:space="preserve">1) At some point will need to train at replacement level as older physicians retire. Therefore total physicians trained will be overstated. </t>
  </si>
  <si>
    <t>x</t>
  </si>
  <si>
    <t>DILUTED SHARES</t>
  </si>
  <si>
    <t>Treasury with a Twist- All Outstanding Options</t>
  </si>
  <si>
    <t>Treasury Method- All Outstanding Options</t>
  </si>
  <si>
    <t>Basic share count</t>
  </si>
  <si>
    <t>Outstanding options</t>
  </si>
  <si>
    <t>Oustanding options</t>
  </si>
  <si>
    <t>Exercise price</t>
  </si>
  <si>
    <t>Current share price</t>
  </si>
  <si>
    <t>In-the-money options</t>
  </si>
  <si>
    <t>Total proceeds</t>
  </si>
  <si>
    <t>Total shares repurchased</t>
  </si>
  <si>
    <t>Unvested RSUs</t>
  </si>
  <si>
    <t>Diluted shares outstanding</t>
  </si>
  <si>
    <t>WACC</t>
  </si>
  <si>
    <t>Current</t>
  </si>
  <si>
    <t>Percent of Capital</t>
  </si>
  <si>
    <t>Total debt</t>
  </si>
  <si>
    <t>Share price</t>
  </si>
  <si>
    <t>Shares outstanding (thousands)</t>
  </si>
  <si>
    <t xml:space="preserve">***Note: This should likely be set equal to our diluted shares oustanding from above. </t>
  </si>
  <si>
    <t>Market value of equity</t>
  </si>
  <si>
    <t>Weight of debt</t>
  </si>
  <si>
    <t>Weight of equity</t>
  </si>
  <si>
    <t>Cost of debt</t>
  </si>
  <si>
    <t>Interest Coverage Ratio</t>
  </si>
  <si>
    <t>Default Spread</t>
  </si>
  <si>
    <t>Pre-tax cost of debt</t>
  </si>
  <si>
    <t>Marginal tax rate</t>
  </si>
  <si>
    <t>Cost of equity</t>
  </si>
  <si>
    <t>Risk-free rate</t>
  </si>
  <si>
    <t>Market risk premium (Rm - Rf)</t>
  </si>
  <si>
    <t>Beta</t>
  </si>
  <si>
    <t>Weighted average cost of capital</t>
  </si>
  <si>
    <t>BOTTOM UP BETA</t>
  </si>
  <si>
    <t>MV</t>
  </si>
  <si>
    <t>Book Value</t>
  </si>
  <si>
    <t>Debt/</t>
  </si>
  <si>
    <t>Reg</t>
  </si>
  <si>
    <t>Unlevered</t>
  </si>
  <si>
    <t xml:space="preserve">Marginal </t>
  </si>
  <si>
    <t>Company</t>
  </si>
  <si>
    <t>Ticker</t>
  </si>
  <si>
    <t>Equity</t>
  </si>
  <si>
    <t>Debt</t>
  </si>
  <si>
    <t>Tax Rate</t>
  </si>
  <si>
    <t xml:space="preserve">LeMaitre Vascular Inc </t>
  </si>
  <si>
    <t>LMAT</t>
  </si>
  <si>
    <t>Pulmonx Corp</t>
  </si>
  <si>
    <t>LUNG</t>
  </si>
  <si>
    <t>AngioDynamics Inc</t>
  </si>
  <si>
    <t>ANGO</t>
  </si>
  <si>
    <t>Atrion Corp</t>
  </si>
  <si>
    <t>ATRI</t>
  </si>
  <si>
    <t>Inari Medical Inc</t>
  </si>
  <si>
    <t>NARI</t>
  </si>
  <si>
    <t>Average unlevered beta</t>
  </si>
  <si>
    <t>SENSITIVITY ANALYSIS</t>
  </si>
  <si>
    <t>2031 % of market</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</si>
  <si>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</si>
  <si>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</si>
  <si>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</si>
  <si>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</si>
  <si>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</si>
  <si>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</si>
  <si>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</si>
  <si>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</si>
  <si>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options outstanding =</t>
  </si>
  <si>
    <t>Enter the number of shares outstanding =</t>
  </si>
  <si>
    <t>Circuit Breaker</t>
  </si>
  <si>
    <t>OFF</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</si>
  <si>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</si>
  <si>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</si>
  <si>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</si>
  <si>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</si>
  <si>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</si>
  <si>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</si>
  <si>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</si>
  <si>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</si>
  <si>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</si>
  <si>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</si>
  <si>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</si>
  <si>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</si>
  <si>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</si>
  <si>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</si>
  <si>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</si>
  <si>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</si>
  <si>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</si>
  <si>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</si>
  <si>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</si>
  <si>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Option Drag</t>
  </si>
  <si>
    <t>Basic Shares</t>
  </si>
  <si>
    <t>Value of Options</t>
  </si>
  <si>
    <t>Treasury Outstanding Options</t>
  </si>
  <si>
    <t>Total Proceeds</t>
  </si>
  <si>
    <t>Options Outstanding</t>
  </si>
  <si>
    <t>Exercise Price</t>
  </si>
  <si>
    <t>Implied Equity Value (Using EM)</t>
  </si>
  <si>
    <t>Beta Step</t>
  </si>
  <si>
    <t>Exit Multiple</t>
  </si>
  <si>
    <t>Exit Multiple Step</t>
  </si>
  <si>
    <t>WACC Step</t>
  </si>
  <si>
    <t>Growth Step</t>
  </si>
  <si>
    <t>g</t>
  </si>
  <si>
    <t>Worst_case</t>
  </si>
  <si>
    <t>Moderate_case</t>
  </si>
  <si>
    <t>Best_case</t>
  </si>
  <si>
    <t>Scenario Summary</t>
  </si>
  <si>
    <t>Changing Cells:</t>
  </si>
  <si>
    <t>Current Values:</t>
  </si>
  <si>
    <t>Result Cells:</t>
  </si>
  <si>
    <t>Sales Growth 2022</t>
  </si>
  <si>
    <t>Sales Growth % change 2023</t>
  </si>
  <si>
    <t>COGS in 2031</t>
  </si>
  <si>
    <t>R&amp;D in 2022</t>
  </si>
  <si>
    <t>SGA in 2022</t>
  </si>
  <si>
    <t>SGA % change in 2023</t>
  </si>
  <si>
    <t>SGA % change in 2024</t>
  </si>
  <si>
    <t>SGA % change in 2026</t>
  </si>
  <si>
    <t>Terminal Growth Rate</t>
  </si>
  <si>
    <t>Exit multiple</t>
  </si>
  <si>
    <t>Default spread</t>
  </si>
  <si>
    <t>Equity Risk Premium</t>
  </si>
  <si>
    <t>Implied Share Price (Perpetuity growth)</t>
  </si>
  <si>
    <t>Implied Share Price (Exit Multiple)</t>
  </si>
  <si>
    <t>Implied Share Price (Exit Multiple with Option Value</t>
  </si>
  <si>
    <t>Sector</t>
  </si>
  <si>
    <t>Industry</t>
  </si>
  <si>
    <t>Source</t>
  </si>
  <si>
    <t>Peers</t>
  </si>
  <si>
    <t>Proxy Statement</t>
  </si>
  <si>
    <t xml:space="preserve">SFIX 10k </t>
  </si>
  <si>
    <t>Seeking Alpha</t>
  </si>
  <si>
    <t>Mergent</t>
  </si>
  <si>
    <t>Capital IQ</t>
  </si>
  <si>
    <t>Morningstar</t>
  </si>
  <si>
    <t>Financial Times</t>
  </si>
  <si>
    <t>Proxy Statements</t>
  </si>
  <si>
    <t>10K</t>
  </si>
  <si>
    <t>List of Possible Competitors</t>
  </si>
  <si>
    <t>Business Description</t>
  </si>
  <si>
    <t>Exchange</t>
  </si>
  <si>
    <t>Include (Y/N)</t>
  </si>
  <si>
    <t>NASDAQ</t>
  </si>
  <si>
    <t>Y</t>
  </si>
  <si>
    <t>N</t>
  </si>
  <si>
    <t>NYSE</t>
  </si>
  <si>
    <t>Capital IQ, Financial Times</t>
  </si>
  <si>
    <t>Proxy</t>
  </si>
  <si>
    <t>Valuation with Public Comparables</t>
  </si>
  <si>
    <t>Enterprise Value Multiples</t>
  </si>
  <si>
    <t>Equity Value Multiples</t>
  </si>
  <si>
    <t>_</t>
  </si>
  <si>
    <t>Market Value</t>
  </si>
  <si>
    <t>Enterprise</t>
  </si>
  <si>
    <t>Forward</t>
  </si>
  <si>
    <t>5 year growth</t>
  </si>
  <si>
    <t>BV</t>
  </si>
  <si>
    <t>Price(Market)-</t>
  </si>
  <si>
    <t xml:space="preserve">Cash/MS as </t>
  </si>
  <si>
    <t>of Equity</t>
  </si>
  <si>
    <t>Value</t>
  </si>
  <si>
    <t>EV/Sales</t>
  </si>
  <si>
    <t>EV/EBIT</t>
  </si>
  <si>
    <t>EV/EBITDA</t>
  </si>
  <si>
    <t>EPS</t>
  </si>
  <si>
    <t>rate</t>
  </si>
  <si>
    <t>P/E</t>
  </si>
  <si>
    <t>PEG</t>
  </si>
  <si>
    <t>to-Book</t>
  </si>
  <si>
    <t>% of TA</t>
  </si>
  <si>
    <t>High</t>
  </si>
  <si>
    <t>Mean</t>
  </si>
  <si>
    <t>Median</t>
  </si>
  <si>
    <t>Low</t>
  </si>
  <si>
    <t>Implied price per share</t>
  </si>
  <si>
    <t>Implied Enterprise Value</t>
  </si>
  <si>
    <t>Range of EV/Sales</t>
  </si>
  <si>
    <t>Range of EV/EBIT</t>
  </si>
  <si>
    <t>Range of EV/EBITDA</t>
  </si>
  <si>
    <t>Range of Forward P/E</t>
  </si>
  <si>
    <t>Range of Forward PEG</t>
  </si>
  <si>
    <t>Range of Price-to-Book</t>
  </si>
  <si>
    <t>Excess Cash</t>
  </si>
  <si>
    <t>LTM Calculations For</t>
  </si>
  <si>
    <t>Fiscal year ended</t>
  </si>
  <si>
    <t>LTM</t>
  </si>
  <si>
    <t>Revenues</t>
  </si>
  <si>
    <t>EBITDA</t>
  </si>
  <si>
    <t>As of</t>
  </si>
  <si>
    <t>Net debt</t>
  </si>
  <si>
    <t>Preferred stock</t>
  </si>
  <si>
    <t>Non-controlling Interest</t>
  </si>
  <si>
    <t>Cash/MS</t>
  </si>
  <si>
    <t>Total Assets</t>
  </si>
  <si>
    <t>Medical Equipment</t>
  </si>
  <si>
    <t>Surgical and medical instruments</t>
  </si>
  <si>
    <t>Vapotherm</t>
  </si>
  <si>
    <t>Acutus Medical
Inari Medical
ShockWave Medical
Atrion
Inspire Medical Systems
SI-Bone
Axonics Modulation Technologies
LeMaitre Vascular
STAAR Surgical Company
Cerus
OrthoPediatrics
Tactile Systems Technology
Eargo
Outset Medical
Vapotherm
 GenMark Diagnostics
Pulmonx</t>
  </si>
  <si>
    <t>LeMaitre Vascular
Getinge / Maquet
Baxter
Terumo
Gore
Edwards
Abbott
Medtronic
Boston Scientific
Cordis
Contego Medical
InspireMD</t>
  </si>
  <si>
    <t>Edwards Lifesciences
Boston Scientific
Abbott
Pulmonx
Becton Dickinson
Baxter
The Cooper Companies
Haemonetics
Medtronic
Merit Medical</t>
  </si>
  <si>
    <t xml:space="preserve">Danaher Corp
Emerson Electric Co.
KLA Corp
AMETEK Inc
Fortive Corp
PerkinElmer, Inc.
Keysight Technologies Inc
Mettler-Toledo International, Inc.
MKS Instruments Inc
Waters Corp.
IDEX Corporation
Graco Inc
</t>
  </si>
  <si>
    <t>Chart Industries Inc
Cognex Corp
ESCO Technologies, Inc.
Daktronics Inc.
Badger Meter Inc
Powell Industries, Inc.
Allied Motion Technologies Inc
Starrett (LS) Co (The)
Hurco Companies Inc
Transcat Inc 
Mesa Laboratories, Inc.
Vapotherm Inc
Crawford United Corp</t>
  </si>
  <si>
    <t>Meridian Bioscience
Establishment Labs
FIGS
Avanos Medical
Orthopediatrics</t>
  </si>
  <si>
    <t>Industry (SIC code: 3841)</t>
  </si>
  <si>
    <t>223 firms</t>
  </si>
  <si>
    <t>Avanos Medical Inc
Atrion Corporation
Treace Medical Concepts Inc
Establishment Labs Holdings Inc
Paragon 28 Inc
Meridian Bioscience, Inc.
Nevro Corp
Owens &amp; Minor, Inc.
Silk Road Medical Inc
Warby Parker Inc
Embecta Corp
Procept Biorobotics Corp
TransMedics Group Inc
AtriCure Inc.
Pacific Biosciences of California Inc
Cytek Biosciences Inc</t>
  </si>
  <si>
    <t>SI-Bone Inc
Inspire Medical Systems Inc
Integra Lifesciences Holdings Corp</t>
  </si>
  <si>
    <t xml:space="preserve">Medtronic plc </t>
  </si>
  <si>
    <t xml:space="preserve">Haemonetics Corporation </t>
  </si>
  <si>
    <t xml:space="preserve">Becton, Dickinson and Company </t>
  </si>
  <si>
    <t xml:space="preserve">Abbott Laboratories </t>
  </si>
  <si>
    <t xml:space="preserve">Baxter International Inc. </t>
  </si>
  <si>
    <t xml:space="preserve">Boston Scientific Corporation </t>
  </si>
  <si>
    <t xml:space="preserve">Merit Medical Systems, Inc. </t>
  </si>
  <si>
    <t xml:space="preserve">Edwards Lifesciences Corporation </t>
  </si>
  <si>
    <t xml:space="preserve">Pulmonx Corporation </t>
  </si>
  <si>
    <t xml:space="preserve">Inspire Medical Systems, Inc. </t>
  </si>
  <si>
    <t xml:space="preserve">SI-BONE, Inc. </t>
  </si>
  <si>
    <t xml:space="preserve">Inari Medical, Inc. </t>
  </si>
  <si>
    <t>W. L. Gore &amp; Associates, Inc.</t>
  </si>
  <si>
    <t xml:space="preserve">LeMaitre Vascular, Inc. </t>
  </si>
  <si>
    <t xml:space="preserve">AngioDynamics, Inc. </t>
  </si>
  <si>
    <t>Cordis Corporation</t>
  </si>
  <si>
    <t xml:space="preserve">Meridian Bioscience, Inc. </t>
  </si>
  <si>
    <t xml:space="preserve">Atrion Corporation </t>
  </si>
  <si>
    <t>MDT</t>
  </si>
  <si>
    <t>HAE</t>
  </si>
  <si>
    <t>BDX</t>
  </si>
  <si>
    <t>ABT</t>
  </si>
  <si>
    <t>BAX</t>
  </si>
  <si>
    <t>BSX</t>
  </si>
  <si>
    <t>MMSI</t>
  </si>
  <si>
    <t>EW</t>
  </si>
  <si>
    <t>INSP</t>
  </si>
  <si>
    <t>SIBN</t>
  </si>
  <si>
    <t>VIVO</t>
  </si>
  <si>
    <t>Private</t>
  </si>
  <si>
    <t>10K, Capital IQ</t>
  </si>
  <si>
    <t>Medtronic plc develops, manufactures, and sells device-based medical therapies to healthcare systems, physicians, clinicians, and patients worldwide. Its Cardiovascular Portfolio segment offers implantable cardiac pacemakers, cardioverter defibrillators, and cardiac resynchronization therapy devices; cardiac ablation products; insertable cardiac monitor systems; TYRX products; and remote monitoring and patient-centered software. It also provides aortic valves, surgical valve replacement and repair products, endovascular stent grafts and accessories, and transcatheter pulmonary valves; and percutaneous coronary intervention products, percutaneous angioplasty balloons, and products. The company’s Medical Surgical Portfolio segment offers surgical stapling devices, vessel sealing instruments, wound closure, electrosurgery products, surgical artificial intelligence and robotic-assisted surgery products, hernia mechanical devices, mesh implants, gynecology and lung products, and various therapies to treat diseases, as well as products in the fields of minimally invasive gastrointestinal and hepatologic diagnostics and therapies, patient monitoring, airway management and ventilation therapies, and renal disease. Its Neuroscience Portfolio segment offers products for spinal surgeons; neurosurgeons; neurologists; pain management specialists; anesthesiologists; orthopedic surgeons; urologists; urogynecologists; interventional radiologists; ear, nose, and throat specialists; and systems that incorporate energy surgical instruments. It also provides image-guided surgery and intra-operative imaging systems and robotic guidance systems used in robot assisted spine procedures; and therapies for vasculature in and around the brain. The company’s Diabetes Operating Unit segment offers insulin pumps and consumables, continuous glucose monitoring systems, smart insulin pen systems, and consumables and supplies. The company was founded in 1949 and is headquartered in Dublin, Ireland.</t>
  </si>
  <si>
    <t>Haemonetics Corporation, a healthcare company, provides medical products and solutions. It operates through three segments: Plasma, Blood Center, and Hospital. The company offers automated plasma collection devices, related disposables, and software, including NexSys PCS and PCS2 plasmapheresis equipment and related disposables and intravenous solutions, as well as integrated information technology platforms for plasma customers to manage their donors, operations, and supply chain; and NexLynk DMS donor management system. It also provides automated blood component and manual whole blood collection systems, such as MCS brand apheresis equipment to collect specific blood components from the donor; disposable whole blood collection and component storage sets; SafeTrace Tx blood bank information system; and BloodTrack blood management software, a suite of blood management and bedside transfusion solutions that combines software with hardware components, as well as an extension of the hospital’s blood bank information system. In addition, the company offers hospital products comprising TEG, ClotPro, and HAS hemostasis analyzer systems that provide a comprehensive assessment of a patient’s overall hemostasis; TEG Manager software, which connects various TEG analyzers throughout the hospital, providing clinicians remote access to active and historical test results that inform treatment decisions; and Cell Saver Elite +, an autologous blood recovery system for cardiovascular, orthopedic, trauma, transplant, vascular, obstetrical, and gynecological surgeries. It markets and sells its products through direct sales force, independent distributors, and sales representatives. Haemonetics Corporation was founded in 1971 and is headquartered in Boston, Massachusetts.</t>
  </si>
  <si>
    <t>Becton, Dickinson and Company develops, manufactures, and sells medical supplies, devices, laboratory equipment, and diagnostic products for healthcare institutions, physicians, life science researchers, clinical laboratories, pharmaceutical industry, and the general public worldwide. The company’s BD Medical segment offers peripheral intravenous (IV) and advanced peripheral catheters, central lines, acute dialysis catheters, vascular care and preparation products, needle-free IV connectors and extensions sets, closed-system drug transfer devices, hazardous drug detections, hypodermic syringes and needles, anesthesia needles and trays, enteral syringes, and sharps disposal systems; IV medication and infusion therapy delivery systems, medication compounding workflow systems, automated medication dispensing and supply management systems, and medication inventory optimization and tracking systems; syringes, pen needles, and other products for diabetes; and prefillable drug delivery systems. Its BD Life Sciences segment provides specimen and blood collection products; automated blood and tuberculosis culturing, molecular testing, microorganism identification and drug susceptibility, and liquid-based cytology systems, as well as rapid diagnostic assays, microbiology laboratory automation products, and plated media products; and fluorescence-activated cell sorters and analyzers, antibodies and kits, reagent systems, and solutions for single-cell gene expression analysis, as well as clinical oncology, immunological, and transplantation diagnostic/monitoring reagents and analyzers. The company’s BD Interventional segment offers hernia and soft tissue repair, biological and bioresorbable grafts, biosurgery, and other surgical products; surgical infection prevention, surgical and laparoscopic instrumentation products; peripheral intervention products; and urology and critical care products. The company was founded in 1897 and is based in Franklin Lakes, New Jersey.</t>
  </si>
  <si>
    <t>Abbott Laboratories, together with its subsidiaries, discovers, develops, manufactures, and sells health care products worldwide. It operates in four segments: Established Pharmaceutical Products, Diagnostic Products, Nutritional Products, and Medical Devices. The Established Pharmaceutical Products segment provides generic pharmaceuticals for the treatment of pancreatic exocrine insufficiency, irritable bowel syndrome or biliary spasm, intrahepatic cholestasis or depressive symptoms, gynecological disorder, hormone replacement therapy, dyslipidemia, hypertension, hypothyroidism, Ménière's disease and vestibular vertigo, pain, fever, inflammation, and migraine, as well as provides anti-infective clarithromycin, influenza vaccine, and products to regulate physiological rhythm of the colon. The Diagnostic Products segment offers laboratory systems in the areas of immunoassay, clinical chemistry, hematology, and transfusion; molecular diagnostics systems that automate the extraction, purification, and preparation of DNA and RNA from patient samples, as well as detect and measure infectious agents; point of care systems; cartridges for testing blood; rapid diagnostics lateral flow testing products; molecular point-of-care testing for HIV, SARS-CoV-2, influenza A and B, RSV, and strep A; cardiometabolic test systems; drug and alcohol test, and remote patient monitoring and consumer self-test systems; and informatics and automation solutions for use in laboratories. The Nutritional Products segment provides pediatric and adult nutritional products. The Medical Devices segment offers rhythm management, electrophysiology, heart failure, vascular, and structural heart devices for the treatment of cardiovascular diseases; and diabetes care products, as well as neuromodulation devices for the management of chronic pain and movement disorders. Abbott Laboratories was founded in 1888 and is based in North Chicago, Illinois.</t>
  </si>
  <si>
    <t>Baxter International Inc., through its subsidiaries, develops and provides a portfolio of healthcare products worldwide. The company offers peritoneal dialysis and hemodialysis, and additional dialysis therapies and services; intravenous therapies, infusion pumps, administration sets, and drug reconstitution devices; remixed and oncology drug platforms, inhaled anesthesia and critical care products and pharmacy compounding services; parenteral nutrition therapies and related products; biological products and medical devices used in surgical procedures for hemostasis, tissue sealing and adhesion prevention; and continuous renal replacement therapies and other organ support therapies focused in the intensive care unit. It also provides connected care solutions, including devices, software, communications, and integration technologies; integrated patient monitoring and diagnostic technologies to help diagnose, treat, and manage a various illness and diseases, including respiratory therapy, cardiology, vision screening, and physical assessment; surgical video technologies, tables, lights, pendants, precision positioning devices and other accessories. In addition, the company offers contracted services to various pharmaceutical and biopharmaceutical companies. Its products are used in hospitals, kidney dialysis centers, nursing homes, rehabilitation centers, doctors’ offices, and patients at home under physician supervision. The company sells its products through direct sales force, as well as through independent distributors, drug wholesalers, and specialty pharmacy or other alternate site providers in approximately 100 countries. It has an agreement with Celerity Pharmaceutical, LLC to develop acute care generic injectable premix and oncolytic molecules. Baxter International Inc. was incorporated in 1931 and is headquartered in Deerfield, Illinois.</t>
  </si>
  <si>
    <t>Boston Scientific Corporation develops, manufactures, and markets medical devices for use in various interventional medical specialties worldwide. It operates through three segments: MedSurg, Rhythm and Neuro, and Cardiovascular. The company offers devices to diagnose and treat gastrointestinal and pulmonary conditions; devices to treat various urological and pelvic conditions; implantable cardioverter and implantable cardiac resynchronization therapy defibrillators; pacemakers and implantable cardiac resynchronization therapy pacemakers; and remote patient management systems. It also provides medical technologies to diagnose and treat rate and rhythm disorders of the heart comprising 3-D cardiac mapping and navigation solutions, ablation catheters, diagnostic catheters, mapping catheters, intracardiac ultrasound catheters, delivery sheaths, and other accessories; spinal cord stimulator systems for the management of chronic pain; indirect decompression systems; and deep brain stimulation systems. In addition, the company offers interventional cardiology products, including drug-eluting coronary stent systems used in the treatment of coronary artery disease; percutaneous coronary interventions products to treat atherosclerosis; intravascular catheter-directed ultrasound imaging catheters, fractional flow reserve devices, and systems for use in coronary arteries and heart chambers, as well as various peripheral vessels; and structural heart therapies. Further, it provides stents, balloon catheters, wires, and atherectomy systems to treat arterial diseases; thrombectomy and acoustic pulse thrombolysis systems, wires, and stents to treat venous diseases; and peripheral embolization devices, radioactive microspheres, ablation systems, cryotherapy ablation systems, and micro and drainage catheters to treat cancer. The company was incorporated in 1979 and is headquartered in Marlborough, Massachusetts.</t>
  </si>
  <si>
    <t>Merit Medical Systems, Inc. designs, develops, manufactures, and markets single-use medical products for interventional, diagnostic, and therapeutic procedures, primarily in cardiology, radiology, oncology, critical care, and endoscopy. The company operates in two segments, Cardiovascular and Endoscopy. It provides peripheral intervention products for the diagnosis and treatment of diseases in peripheral vessels and organs; and cardiac intervention products, such as access, angiography, electrophysiology and cardiac rhythm management, fluid management, hemodynamic monitoring, hemostasis, and intervention to treat various heart conditions. The company also offers custom procedural solutions that include critical care products, disinfection protection systems, syringes, manifold kits, and trays and packs; coated tubes and wires; and sensor components for microelectromechanical systems. In addition, it provides pulmonary products that consist of laser-cut tracheobronchial stents, over-the-wire and direct visualization delivery systems, and dilation balloons to endoscopically dilate strictures; gastroenterology products; and kits and accessories for endoscopy and bronchoscopy procedures. The company sells its products to hospitals and alternate site-based physicians, technicians, and nurses through direct sales force, distributors, original equipment manufacturer partners, or custom procedure tray manufacturers in the United States and internationally. Merit Medical Systems, Inc. was incorporated in 1987 and is headquartered in South Jordan, Utah.</t>
  </si>
  <si>
    <t>Edwards Lifesciences Corporation provides products and technologies for structural heart disease, and critical care and surgical monitoring in the United States, Europe, Japan, and internationally. It offers transcatheter heart valve replacement products for the minimally invasive replacement of heart valves; and transcatheter heart valve repair and replacement products to treat mitral and tricuspid valve diseases. The company also provides the PASCAL and Cardioband transcatheter valve repair systems for minimally-invasive therapy. In addition, it offers surgical structural heart solutions, such as aortic surgical valve under the INSPIRIS name; KONECT RESILIA, a pre-assembled aortic tissue valved conduit for patients who require replacement of the valve, root, and ascending aorta; and HARPOON Beating Heart Mitral Valve Repair System for patients with degenerative mitral regurgitation. Further, the company provides critical care solutions, including advanced hemodynamic monitoring systems to measure a patient’s heart function and fluid status in surgical and intensive care settings; and Acumen Hypotension Prediction Index software that alerts clinicians in advance of a patient developing dangerously low blood pressure. The company distributes its products through a direct sales force and independent distributors. Edwards Lifesciences Corporation was founded in 1958 and is headquartered in Irvine, California.</t>
  </si>
  <si>
    <t>Pulmonx Corporation, a medical technology company, provides minimally invasive devices for the treatment of chronic obstructive pulmonary diseases. It offers Zephyr Endobronchial Valve, a solution for the treatment of bronchoscopic in adult patients with hyperinflation associated with severe emphysema; and Chartis Pulmonary Assessment System, a balloon catheter and console system with flow and pressure sensors that are used to assess the presence of collateral ventilation. The company also provides StratX Lung Analysis Platform, a cloud-based quantitative computed tomography analysis service that offers information on emphysema destruction, fissure completeness, and lobar volume to help identify target lobes for the treatment with Zephyr Valves. It serves emphysema patients in the United States, Europe, the Middle East, Africa, the Asia-Pacific, and internationally. The company was formerly known as Pulmonx and changed its name to Pulmonx Corporation in December 2013. Pulmonx Corporation was incorporated in 1995 and is headquartered in Redwood City, California.</t>
  </si>
  <si>
    <t>Inspire Medical Systems, Inc., a medical technology company, focuses on the development and commercialization of minimally invasive solutions for patients with obstructive sleep apnea (OSA) in the United States and internationally. The company offers Inspire system, a neurostimulation technology that provides a safe and effective treatment for moderate to severe OSA. It also develops a novel, a closed-loop solution that continuously monitors a patient’s breathing and delivers mild hypoglossal nerve stimulation to maintain an open airway. The company was incorporated in 2007 and is headquartered in Golden Valley, Minnesota.</t>
  </si>
  <si>
    <t>SI-BONE, Inc., a medical device company, develops implantable devices used to solve musculoskeletal disorders of the sacropelvic anatomy in the United States and internationally. It offers iFuse, a minimally invasive surgical implant system to address sacroiliac joint dysfunction and degeneration, adult deformity, and pelvic ring traumatic fractures. The company also provides iFuse-3D, a titanium implant that combines the triangular cross-section of the iFuse implant with the proprietary 3D-printed porous surface and fenestrated design; and iFuse-TORQ, a set of 3D-printed threaded implants designed to treat fractures of the pelvis and for minimally invasive sacroiliac joint fusion. It markets its products primarily with a direct sales force, as well as through distributors. The company was incorporated in 2008 and is headquartered in Santa Clara, California.</t>
  </si>
  <si>
    <t>Inari Medical, Inc., a medical device company, develops, manufactures, markets, and sells devices for the interventional treatment of venous diseases in the United States. The company provides ClotTriever, a mechanical thrombectomy system, which is designed to core, capture, and remove large clots from large vessels, as well as for treatment of deep vein thrombosis; and FlowTriever, a large bore catheter-based aspiration and mechanical thrombectomy system, for treatment of pulmonary embolism. It also offers FlowSaver; FlowStasis, a large bore suture retention device designed to address various aspects of venous access site; and FlowTriever 2, a new disk shape designed to capture and remove wall adherent clot and shorten treatment. The company was formerly known as Inceptus Newco1 Inc. and changed its name to Inari Medical, Inc. in September 2013. Inari Medical, Inc. was incorporated in 2011 and is headquartered in Irvine, California.</t>
  </si>
  <si>
    <t>W. L. Gore &amp; Associates, Inc. manufactures electronics, fabrics, industrial, and medical products. It provides consumer products, including waterproof, windproof, and breathable garments, footwear and accessories, guitar strings, and vacuum cleaner bags; cables and cable assemblies; electronic and electrochemical materials, such as EMI shielding and grounding solutions, fuel cell components, and electrochemical device components; fabrics, including public safety, military, and fire and safety service fabrics; and fibers, such as sewing threads, weaving yarns, and rope fibers. The company also offers filtration products; medical products, including implantable medical devices, thoracic stent graft with active control system, and medical OEM products; pharmaceutical processing products, such as pharmaceutical tubing products and molded assemblies; 9.0 mL GORE Protein Capture Device that enables improved throughput and productivity in lead generation, optimization, and early process development in bioprocessing process development; sealants; and venting products. It serves customers in aerospace, automotive, chemical processing, computer, telecommunications, electronics, energy, environment, fire and public safety, industrial and manufacturing, medical, military, pharmaceutical and biotechnology, semiconductor and microelectronics, and textile industries. W. L. Gore &amp; Associates, Inc. was founded in 1958 and is based in Newark, Delaware.</t>
  </si>
  <si>
    <t>LeMaitre Vascular, Inc. designs, markets, sells, services, and supports medical devices and implants for the treatment of peripheral vascular disease worldwide. It offers angioscope, a fiberoptic catheter used for viewing the lumen of a blood vessel; embolectomy catheters to remove blood clots from arteries or veins; occlusion catheters that temporarily occlude the blood flow; perfusion catheters to perfuse the blood and other fluids into the vasculature; and thrombectomy catheters, which features a silicone balloon for removing thrombi in the venous system. The company also provides carotid shunts that temporarily shunt the blood to the brain during the removal of plaque from the carotid artery in a carotid endarterectomy surgery; and radiopaque tape, a medical-grade tape applied to the skin that enables interventionists to cross-refer between the inside and the outside of a patient’s body, and allows them to locate tributaries or lesions beneath the skin. In addition, it offers valvulotomes, which cut or disrupt valves in the saphenous vein to function as an artery to carry blood past diseased arteries to the lower leg or the foot; and vascular grafts to bypass or replace diseased arteries. Further, the company provides vascular and cardiac patches, which are used for closure of vessels after surgical intervention; and closure systems to attach vessels to one another with titanium clips instead of sutures. It markets its products through a direct sales force and distributors. The company was formerly known as Vascutech, Inc. and changed its name to LeMaitre Vascular, Inc. in April 2001. LeMaitre Vascular, Inc. was incorporated in 1983 and is headquartered in Burlington, Massachusetts.</t>
  </si>
  <si>
    <t>AngioDynamics, Inc. designs, manufactures, and sells various medical, surgical, and diagnostic devices used by professional healthcare providers for the treatment of peripheral vascular disease and vascular access; and for use in oncology and surgical settings in the United States and internationally. The company provides NanoKnife ablation systems for the surgical ablation of soft tissues; solero microwave tissue ablation systems; and radiofrequency ablation products for ablating solid cancerous or benign tumors. It also offers BioSentry tract sealant systems, IsoLoc Endorectal Balloon's, alatus vaginal balloon packing systems, angiographic catheters, guidewires, percutaneous drainage catheters, and coaxial micro-introducer kits. In addition, the company provides endovascular therapies products in the areas of thrombus management, atherectomy, peripheral products (Core), and venous insufficiency. Additionally, the company offers peripherally inserted central catheters, midline catheters, implantable ports, dialysis catheters, and related accessories and supplies that are used primarily to deliver short-term drug therapies, such as chemotherapeutic agents and antibiotics, into the central venous system under the BioFlo, BioFlo Midline, BioFlo PICC, Xcela PICC, PASV, BioFlo Port, SmartPort, Vortex, LifeGuard, BioFlo DuraMax, and DuraMax names. It sells and markets its products to interventional radiologists, interventional cardiologists, vascular surgeons, urologists, interventional and surgical oncologists, and critical care nurses directly, as well as through distributor relationships. The company was founded in 1988 and is headquartered in Latham, New York.</t>
  </si>
  <si>
    <t>Cordis Corporation develops, manufactures, and sells interventional medical devices for the treatment of cardiovascular, endovascular, and biliary stent worldwide. It offers sheaths, diagnostic guidewires and catheters, steerable guidewires, access accessories, crossing devices, guiding catheters, self and balloon expandable stents, vena cava filters, vascular closure devices, and accessories; and PTCA, PTA, and specialty balloons. Cordis Corporation was formerly known as Medical Development Corporation and changed its name to Cordis Corporation in January 1959. The company was founded in 1957 and is headquartered in Santa Clara, California with an additional office in Miami Lakes, Florida.</t>
  </si>
  <si>
    <t>Meridian Bioscience, Inc., a life science company, develops, manufactures, distributes, and sells diagnostic test kits primarily for gastrointestinal and respiratory infectious diseases, and elevated blood lead levels worldwide. The company operates through Diagnostics and Life Science segments. The Diagnostics segment offers testing platforms, including real-time PCR amplification under the Revogene brand; isothermal DNA amplification under the Alethia brand; lateral flow immunoassay using fluorescent chemistry under the Curian brand; rapid immunoassay under the ImmunoCard and ImmunoCard STAT! brands; enzyme-linked immunoassays under the PREMIER brand; anodic stripping voltammetry under the LeadCare brands; and urea breath testing for H. pylori under the BreathID and BreathTek brand. This segment also offers respiratory illness assays, such as tests Group A strep, mycoplasma pneumonia, influenza, and pertussis; and blood chemistry products for LeadCare test kits for the detection of lead in blood. It sells products through direct sales force and independent distributors to acute care hospitals, reference laboratories, outpatient clinics, and physician office laboratories. The Life Science segment offers bulk antigens, antibodies, PCR/qPCR reagents, nucleotides, and bioresearch reagents used by in vitro diagnostic manufacturers, as well as researchers in immunological and molecular tests for human, animal, plant, and environmental applications. Meridian Bioscience, Inc. was incorporated in 1976 and is headquartered in Cincinnati, Ohio.</t>
  </si>
  <si>
    <t>Atrion Corporation, together with its subsidiaries, develops, manufactures, and sells products for fluid delivery, cardiovascular, and ophthalmology applications in the United States, Canada, Europe, and internationally. Its fluid delivery products include valves that fill, hold, and release controlled amounts of fluids or gasses for use in various intubation, intravenous, catheter, and other applications in the anesthesia and oncology fields, as well as promote infection control in hospital and home healthcare environments. The company’s cardiovascular products comprise Myocardial Protection System that delivers fluids and medications and mixes critical drugs, as well as controls temperature, pressure, and other variables; cardiac surgery vacuum relief valves; silicone vessel loops for retracting and occluding vessels; and inflation devices for balloon catheter dilation, stent deployment, and fluid dispensing, as well as products for use in heart bypass surgery. Its ophthalmic products include specialized medical devices that disinfect contact lenses; and a line of balloon catheters, which are used for the treatment of nasolacrimal duct obstruction in children and adults. The company also manufactures instrumentation and associated disposables that measure the activated clotting time of blood; and products for safe needle and scalpel blade containment. In addition, it manufactures inflation systems and valves used in marine and aviation safety products; components used in inflatable survival products and structures; and one-way and two-way pressure relief valves that protect sensitive electronics and other products during transport in other medical and non-medical applications. The company sells its products to physicians, hospitals, clinics, and other treatment centers; and other equipment manufacturers through direct sales force, independent sales representatives, and distributors. Atrion Corporation was founded in 1944 and is headquartered in Allen, Texas.</t>
  </si>
  <si>
    <t>Capital IQ and Proxy</t>
  </si>
  <si>
    <t>Proxy, Morningstar</t>
  </si>
  <si>
    <t>Proxy, 10K</t>
  </si>
  <si>
    <t>None</t>
  </si>
  <si>
    <t>Seeking Alpha, Financial Times</t>
  </si>
  <si>
    <t>Proxy, Financial Times</t>
  </si>
  <si>
    <t>Establishment Labs Holdings</t>
  </si>
  <si>
    <t>ESTA</t>
  </si>
  <si>
    <t>VAPO</t>
  </si>
  <si>
    <t>Proxy, Mergent</t>
  </si>
  <si>
    <t>Avanos Medical Inc</t>
  </si>
  <si>
    <t>AVNS</t>
  </si>
  <si>
    <t>Avanos Medical, Inc., a medical technology company, focuses on delivering medical device solutions in North America, Europe, the Middle East, Africa, the Asia Pacific, and Latin America. It offers a portfolio of chronic care products that include digestive health products, such as Mic-Key enteral feeding tubes, Corpak patient feeding solutions, and NeoMed neonatal and pediatric feeding solutions; and respiratory health products, such as closed airway suction systems and other airway management devices under the Ballard, Microcuff, and Endoclear brands. The company also provides a portfolio of non-opioid pain solutions, including acute pain products, such as On-Q and ambIT surgical pain pumps, Game Ready cold, and compression therapy systems; and interventional pain solutions, which offers minimally invasive pain-relieving therapies, such as Coolief pain relief therapy. It markets its products directly to hospitals and other healthcare providers, healthcare facilities, and other end-user customers, as well as through third-party wholesale distributors. The company was formerly known as Halyard Health, Inc. and changed its name to Avanos Medical, Inc. in June 2018. Avanos Medical, Inc. was incorporated in 2014 and is headquartered in Alpharetta, Georgia.</t>
  </si>
  <si>
    <t>Establishment Labs Holdings Inc., a medical technology company, manufactures and markets medical devices for aesthetic and reconstructive plastic surgery. The company primarily offers silicone gel-filled breast implants under Motiva Implants brand name. It also provides Motiva Ergonomix and Motiva Ergonomix2 gravity sensitive round soft silicone-gel-filled breast implants; and Motiva Flora Tissue Expander, a breast tissue expander, as well as distributes Puregraft line of products for autologous adipose tissue harvesting and redistribution. The company sells its products through exclusive distributors and direct sales force in Europe, Latin America, the Asia-Pacific, and internationally. Establishment Labs Holdings Inc. was incorporated in 2004 and is headquartered in Alajuela, Costa Rica.</t>
  </si>
  <si>
    <t>Vapotherm, Inc., a medical technology company, focuses on the development and commercialization of proprietary high velocity therapy products used to treat patients of various ages suffering from respiratory distress in the United States and internationally. The company offers precision flow systems, such as Precision Flow Hi-VNI, Precision Flow Plus, Precision Flow Classic, and Precision Flow Heliox that deliver heated, humidified, and oxygenated air at a high velocity to patients through a small-bore nasal interface. It also provides companion products, including Vapotherm Transfer Unit, which allows patients to be transferred between care areas within the hospital or ambulate while on therapy; Q50 compressor, which provides compressed air necessary to run the precision flow systems; aerosol aeroneb adaptor to facilitate delivery of ultrasonic aerosolized medication; aerosol disposable patient circuit that is designed to streamline the provision of continuous and intermittent delivery of aerosol medication; and tracheostomy adaptors. In addition, Vapotherm, Inc. offers ProSoft cannula to provide gentle contact with the skin; and disposable products comprising single-use disposables and nasal interfaces, as well as Oxygen Assist Modules, which helps clinicians maintain oxygen levels within a target range. The company sells its products to hospitals. Vapotherm, Inc. was founded in 1993 and is headquartered in Exeter, New Hampshire.</t>
  </si>
  <si>
    <t>PRIVATE</t>
  </si>
  <si>
    <t>Listed by SILK</t>
  </si>
  <si>
    <t>Lists SILK</t>
  </si>
  <si>
    <t>Inspire MD Inc</t>
  </si>
  <si>
    <t>NSPR</t>
  </si>
  <si>
    <t>Proxy Morningstar</t>
  </si>
  <si>
    <t>InspireMD, Inc., a medical device company, focuses on the development and commercialization of proprietary MicroNet stent platform technology for the treatment of vascular and coronary diseases in Europe, Latin America, the Middle East, and Asia Pacific. The company offers CGuard carotid embolic prevention system for use in carotid artery applications; and MGuard Prime embolic protection systems for use in patients with acute coronary syndromes, notably acute myocardial infarction, and saphenous vein graft coronary interventions, as well as bypass surgery. It is also developing PVGuard, a MicroNet mesh sleeve and self-expandable stent for use in peripheral vascular applications. The company sells its products through local distributors. InspireMD, Inc. was founded in 2005 and is headquartered in Tel Aviv-Yafo, Israel.</t>
  </si>
  <si>
    <t>NA</t>
  </si>
  <si>
    <t xml:space="preserve">Silk Road Medical, Inc </t>
  </si>
  <si>
    <t>SILK</t>
  </si>
  <si>
    <t>Silk Road Medical, Inc. operates as a medical device company in the United States. The company offers various products for the treatment of carotid artery disease called transcarotid artery revascularization. Its products include ENROUTE Transcarotid Neuroprotection System that is used to directly access the common carotid artery and initiate temporary blood flow reversal; ENROUTE Transcarotid Stent System, a self-expanding, self-tapering stent; ENHANCE Transcarotid Peripheral Access Kit for use in gaining initial access to the common carotid artery; and ENROUTE 0.014 Guidewire for navigating and crossing the target lesion for delivery of interventional devices. The company was incorporated in 2007 and is headquartered in Sunnyvale, California.</t>
  </si>
  <si>
    <t xml:space="preserve">LTM Gross Margin % </t>
  </si>
  <si>
    <t xml:space="preserve">LTM EBITDA Margin % </t>
  </si>
  <si>
    <t xml:space="preserve">LTM EBIT Margin % </t>
  </si>
  <si>
    <t xml:space="preserve">LTM Net Income Margin % </t>
  </si>
  <si>
    <t xml:space="preserve">LTM Total Revenues, 1 Yr Growth % </t>
  </si>
  <si>
    <t>LTM Total Debt/Capital %</t>
  </si>
  <si>
    <t xml:space="preserve">LTM SG&amp;A Margin % </t>
  </si>
  <si>
    <t xml:space="preserve">LTM Total Revenue </t>
  </si>
  <si>
    <t>Est. Annual Revenue Growth - 2 Yr % (Capital IQ)</t>
  </si>
  <si>
    <t xml:space="preserve">LTM Total Revenues, 5 Yr CAGR % </t>
  </si>
  <si>
    <t xml:space="preserve">LTM Total Revenues, 3 Yr CAGR % </t>
  </si>
  <si>
    <t xml:space="preserve">LTM R&amp;D Margin </t>
  </si>
  <si>
    <t>TOTAL</t>
  </si>
  <si>
    <t>Silk Road Medical</t>
  </si>
  <si>
    <t>Valuation for period ended 09/30/2022</t>
  </si>
  <si>
    <t>(Figures in thousands, except for per share data)</t>
  </si>
  <si>
    <t>9-Months Ended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</si>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</sst>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_);\(&quot;$&quot;#,##0.0\)"/>
    <numFmt numFmtId="165" formatCode="0.0%_);\(0.0%\)"/>
    <numFmt numFmtId="166" formatCode="#,##0.0_);\(#,##0.0\)"/>
    <numFmt numFmtId="167" formatCode="0.0\x"/>
    <numFmt numFmtId="168" formatCode="0&quot;A&quot;"/>
    <numFmt numFmtId="169" formatCode="0&quot;E&quot;"/>
    <numFmt numFmtId="170" formatCode="0.000"/>
    <numFmt numFmtId="171" formatCode="0.0%"/>
    <numFmt numFmtId="172" formatCode="_(0.0%_);\(0.0%\)"/>
    <numFmt numFmtId="173" formatCode="[$-409]d\-mmm\-yy;@"/>
    <numFmt numFmtId="174" formatCode="_(0.0\x_);\(0.0\x\)"/>
    <numFmt numFmtId="175" formatCode="#,##0.0000"/>
  </numFmts>
  <fonts count="47">
    <font>
      <sz val="10"/>
      <name val="Arial"/>
    </font>
    <font>
      <sz val="11"/>
      <color theme="1"/>
      <name val="Calibri"/>
      <family val="2"/>
      <scheme val="minor"/>
    </font>
    <font>
      <sz val="11"/>
      <color theme="1"/>
      <name val="Calibri"/>
      <family val="2"/>
      <scheme val="minor"/>
    </font>
    <font>
      <sz val="11"/>
      <color theme="1"/>
      <name val="Times New Roman"/>
      <family val="1"/>
    </font>
    <font>
      <b/>
      <sz val="11"/>
      <name val="Times New Roman"/>
      <family val="1"/>
    </font>
    <font>
      <b/>
      <sz val="11"/>
      <color rgb="FF0070C0"/>
      <name val="Times New Roman"/>
      <family val="1"/>
    </font>
    <font>
      <b/>
      <sz val="11"/>
      <color theme="1"/>
      <name val="Times New Roman"/>
      <family val="1"/>
    </font>
    <font>
      <sz val="11"/>
      <color rgb="FF0070C0"/>
      <name val="Times New Roman"/>
      <family val="1"/>
    </font>
    <font>
      <sz val="11"/>
      <name val="Times New Roman"/>
      <family val="1"/>
    </font>
    <font>
      <b/>
      <sz val="11"/>
      <color theme="0"/>
      <name val="Times New Roman"/>
      <family val="1"/>
    </font>
    <font>
      <b/>
      <i/>
      <sz val="11"/>
      <color theme="0"/>
      <name val="Times New Roman"/>
      <family val="1"/>
    </font>
    <font>
      <sz val="11"/>
      <color rgb="FF00B050"/>
      <name val="Times New Roman"/>
      <family val="1"/>
    </font>
    <font>
      <i/>
      <sz val="11"/>
      <color theme="1"/>
      <name val="Times New Roman"/>
      <family val="1"/>
    </font>
    <font>
      <sz val="10"/>
      <color rgb="FF000000"/>
      <name val="Arial"/>
      <family val="2"/>
    </font>
    <font>
      <sz val="8"/>
      <color rgb="FF000000"/>
      <name val="Arial"/>
      <family val="2"/>
    </font>
    <font>
      <b/>
      <sz val="16"/>
      <color rgb="FF000000"/>
      <name val="Arial"/>
      <family val="2"/>
    </font>
    <font>
      <b/>
      <sz val="10"/>
      <color rgb="FF000000"/>
      <name val="Arial"/>
      <family val="2"/>
    </font>
    <font>
      <sz val="10"/>
      <name val="Arial"/>
      <family val="2"/>
    </font>
    <font>
      <b/>
      <sz val="11"/>
      <color theme="4"/>
      <name val="Times New Roman"/>
      <family val="1"/>
    </font>
    <font>
      <sz val="11"/>
      <color theme="4"/>
      <name val="Times New Roman"/>
      <family val="1"/>
    </font>
    <font>
      <b/>
      <sz val="9"/>
      <color indexed="81"/>
      <name val="Tahoma"/>
      <family val="2"/>
    </font>
    <font>
      <sz val="9"/>
      <color indexed="81"/>
      <name val="Tahoma"/>
      <family val="2"/>
    </font>
    <font>
      <b/>
      <sz val="14"/>
      <name val="Times"/>
      <family val="1"/>
    </font>
    <font>
      <b/>
      <sz val="14"/>
      <name val="Geneva"/>
      <family val="2"/>
    </font>
    <font>
      <sz val="10"/>
      <name val="Times"/>
      <family val="1"/>
    </font>
    <font>
      <sz val="10"/>
      <color theme="4"/>
      <name val="Times"/>
      <family val="1"/>
    </font>
    <font>
      <b/>
      <i/>
      <sz val="10"/>
      <name val="Times"/>
      <family val="1"/>
    </font>
    <font>
      <i/>
      <sz val="10"/>
      <name val="Times"/>
      <family val="1"/>
    </font>
    <font>
      <i/>
      <sz val="10"/>
      <name val="Geneva"/>
      <family val="2"/>
    </font>
    <font>
      <b/>
      <sz val="10"/>
      <name val="Times"/>
      <family val="1"/>
    </font>
    <font>
      <sz val="10"/>
      <color theme="9"/>
      <name val="Times"/>
      <family val="1"/>
    </font>
    <font>
      <b/>
      <sz val="11"/>
      <color theme="1"/>
      <name val="Calibri"/>
      <family val="2"/>
      <scheme val="minor"/>
    </font>
    <font>
      <b/>
      <sz val="11"/>
      <color indexed="9"/>
      <name val="Arial"/>
      <family val="2"/>
    </font>
    <font>
      <b/>
      <sz val="10"/>
      <color indexed="8"/>
      <name val="Arial"/>
      <family val="2"/>
    </font>
    <font>
      <b/>
      <sz val="10"/>
      <color indexed="18"/>
      <name val="Arial"/>
      <family val="2"/>
    </font>
    <font>
      <sz val="9"/>
      <color indexed="9"/>
      <name val="Arial"/>
      <family val="2"/>
    </font>
    <font>
      <sz val="8"/>
      <name val="Arial"/>
      <family val="2"/>
    </font>
    <font>
      <b/>
      <sz val="10"/>
      <name val="Arial"/>
      <family val="2"/>
    </font>
    <font>
      <b/>
      <sz val="20"/>
      <color theme="1"/>
      <name val="Times New Roman"/>
      <family val="1"/>
    </font>
    <font>
      <sz val="11"/>
      <color rgb="FF002060"/>
      <name val="Times New Roman"/>
      <family val="1"/>
    </font>
    <font>
      <sz val="11"/>
      <color rgb="FF0070C0"/>
      <name val="Calibri"/>
      <family val="2"/>
      <scheme val="minor"/>
    </font>
    <font>
      <sz val="11"/>
      <color theme="4"/>
      <name val="Calibri"/>
      <family val="2"/>
      <scheme val="minor"/>
    </font>
    <font>
      <sz val="8"/>
      <color indexed="8"/>
      <name val="Arial"/>
      <family val="2"/>
    </font>
    <font>
      <sz val="11"/>
      <color theme="0"/>
      <name val="Times New Roman"/>
      <family val="1"/>
    </font>
    <font>
      <sz val="10"/>
      <color theme="0"/>
      <name val="Arial"/>
      <family val="2"/>
    </font>
    <font>
      <b/>
      <sz val="10"/>
      <color theme="0"/>
      <name val="Arial"/>
      <family val="2"/>
    </font>
    <font>
      <sz val="1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theme="8" tint="0.79998168889431442"/>
        <bgColor indexed="64"/>
      </patternFill>
    </fill>
  </fills>
  <borders count="16">
    <border>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10">
    <xf numFmtId="0" fontId="0" fillId="0" borderId="0" applyFill="0"/>
    <xf numFmtId="0" fontId="2" fillId="0" borderId="0"/>
    <xf numFmtId="0" fontId="13" fillId="0" borderId="0"/>
    <xf numFmtId="0" fontId="17" fillId="0" borderId="0" applyFill="0"/>
    <xf numFmtId="44"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0" fontId="17" fillId="0" borderId="0" applyFill="0"/>
    <xf numFmtId="0" fontId="1" fillId="0" borderId="0"/>
    <xf numFmtId="0" fontId="1" fillId="0" borderId="0"/>
  </cellStyleXfs>
  <cellXfs count="264">
    <xf numFmtId="0" fontId="0" fillId="0" borderId="0" xfId="0"/>
    <xf numFmtId="0" fontId="3" fillId="0" borderId="0" xfId="1" applyFont="1"/>
    <xf numFmtId="166" fontId="3" fillId="0" borderId="0" xfId="1" applyNumberFormat="1" applyFont="1"/>
    <xf numFmtId="0" fontId="6" fillId="0" borderId="0" xfId="1" applyFont="1"/>
    <xf numFmtId="0" fontId="9" fillId="2" borderId="0" xfId="1" applyFont="1" applyFill="1" applyAlignment="1">
      <alignment horizontal="centerContinuous"/>
    </xf>
    <xf numFmtId="0" fontId="10" fillId="2" borderId="0" xfId="1" applyFont="1" applyFill="1" applyAlignment="1">
      <alignment horizontal="centerContinuous"/>
    </xf>
    <xf numFmtId="165" fontId="3" fillId="0" borderId="0" xfId="1" applyNumberFormat="1" applyFont="1"/>
    <xf numFmtId="165" fontId="7" fillId="0" borderId="0" xfId="1" applyNumberFormat="1" applyFont="1"/>
    <xf numFmtId="0" fontId="3" fillId="0" borderId="2" xfId="1" applyFont="1" applyBorder="1"/>
    <xf numFmtId="0" fontId="3" fillId="0" borderId="4" xfId="1" applyFont="1" applyBorder="1"/>
    <xf numFmtId="166" fontId="3" fillId="0" borderId="5" xfId="1" applyNumberFormat="1" applyFont="1" applyBorder="1"/>
    <xf numFmtId="0" fontId="3" fillId="0" borderId="6" xfId="1" applyFont="1" applyBorder="1"/>
    <xf numFmtId="0" fontId="3" fillId="0" borderId="7" xfId="1" applyFont="1" applyBorder="1"/>
    <xf numFmtId="0" fontId="3" fillId="0" borderId="8" xfId="1" applyFont="1" applyBorder="1"/>
    <xf numFmtId="0" fontId="6" fillId="0" borderId="9" xfId="1" applyFont="1" applyBorder="1"/>
    <xf numFmtId="165" fontId="3" fillId="0" borderId="5" xfId="1" applyNumberFormat="1" applyFont="1" applyBorder="1"/>
    <xf numFmtId="0" fontId="6" fillId="0" borderId="0" xfId="1" applyFont="1" applyAlignment="1">
      <alignment horizontal="center"/>
    </xf>
    <xf numFmtId="0" fontId="6" fillId="0" borderId="7" xfId="1" applyFont="1" applyBorder="1" applyAlignment="1">
      <alignment horizontal="center"/>
    </xf>
    <xf numFmtId="168" fontId="4" fillId="0" borderId="0" xfId="1" applyNumberFormat="1" applyFont="1" applyAlignment="1">
      <alignment horizontal="center"/>
    </xf>
    <xf numFmtId="0" fontId="6" fillId="0" borderId="10" xfId="1" applyFont="1" applyBorder="1" applyAlignment="1">
      <alignment horizontal="centerContinuous"/>
    </xf>
    <xf numFmtId="0" fontId="6" fillId="0" borderId="1" xfId="1" applyFont="1" applyBorder="1" applyAlignment="1">
      <alignment horizontal="centerContinuous"/>
    </xf>
    <xf numFmtId="0" fontId="6" fillId="0" borderId="11" xfId="1" applyFont="1" applyBorder="1" applyAlignment="1">
      <alignment horizontal="centerContinuous"/>
    </xf>
    <xf numFmtId="164" fontId="3" fillId="0" borderId="0" xfId="1" applyNumberFormat="1" applyFont="1"/>
    <xf numFmtId="5" fontId="3" fillId="0" borderId="0" xfId="1" applyNumberFormat="1" applyFont="1"/>
    <xf numFmtId="9" fontId="3" fillId="0" borderId="0" xfId="1" applyNumberFormat="1" applyFont="1"/>
    <xf numFmtId="164" fontId="3" fillId="0" borderId="3" xfId="1" applyNumberFormat="1" applyFont="1" applyBorder="1"/>
    <xf numFmtId="165" fontId="8" fillId="0" borderId="5" xfId="1" applyNumberFormat="1" applyFont="1" applyBorder="1"/>
    <xf numFmtId="167" fontId="7" fillId="0" borderId="5" xfId="1" applyNumberFormat="1" applyFont="1" applyBorder="1"/>
    <xf numFmtId="165" fontId="7" fillId="0" borderId="5" xfId="1" applyNumberFormat="1" applyFont="1" applyBorder="1"/>
    <xf numFmtId="166" fontId="7" fillId="0" borderId="0" xfId="1" applyNumberFormat="1" applyFont="1"/>
    <xf numFmtId="0" fontId="4" fillId="0" borderId="0" xfId="1" applyFont="1" applyAlignment="1">
      <alignment horizontal="center"/>
    </xf>
    <xf numFmtId="166" fontId="8" fillId="0" borderId="0" xfId="1" applyNumberFormat="1" applyFont="1"/>
    <xf numFmtId="9" fontId="7" fillId="0" borderId="0" xfId="1" applyNumberFormat="1" applyFont="1"/>
    <xf numFmtId="0" fontId="6" fillId="0" borderId="8" xfId="1" applyFont="1" applyBorder="1"/>
    <xf numFmtId="169" fontId="6" fillId="0" borderId="8" xfId="1" applyNumberFormat="1" applyFont="1" applyBorder="1" applyAlignment="1">
      <alignment horizontal="center"/>
    </xf>
    <xf numFmtId="168" fontId="6" fillId="0" borderId="7" xfId="1" applyNumberFormat="1" applyFont="1" applyBorder="1" applyAlignment="1">
      <alignment horizontal="center"/>
    </xf>
    <xf numFmtId="168" fontId="6" fillId="0" borderId="8" xfId="1" applyNumberFormat="1" applyFont="1" applyBorder="1" applyAlignment="1">
      <alignment horizontal="center"/>
    </xf>
    <xf numFmtId="168" fontId="5" fillId="0" borderId="8" xfId="1" applyNumberFormat="1" applyFont="1" applyBorder="1" applyAlignment="1">
      <alignment horizontal="center"/>
    </xf>
    <xf numFmtId="0" fontId="12" fillId="0" borderId="0" xfId="1" applyFont="1"/>
    <xf numFmtId="0" fontId="14" fillId="0" borderId="0" xfId="2" applyFont="1" applyAlignment="1">
      <alignment horizontal="left"/>
    </xf>
    <xf numFmtId="0" fontId="13" fillId="0" borderId="0" xfId="2"/>
    <xf numFmtId="0" fontId="15" fillId="0" borderId="0" xfId="2" applyFont="1" applyAlignment="1">
      <alignment horizontal="left"/>
    </xf>
    <xf numFmtId="0" fontId="13" fillId="0" borderId="0" xfId="2" applyAlignment="1">
      <alignment horizontal="left" vertical="top" wrapText="1"/>
    </xf>
    <xf numFmtId="0" fontId="16" fillId="0" borderId="0" xfId="2" applyFont="1" applyAlignment="1">
      <alignment vertical="top" wrapText="1"/>
    </xf>
    <xf numFmtId="0" fontId="16" fillId="0" borderId="0" xfId="2" applyFont="1" applyAlignment="1">
      <alignment horizontal="left" vertical="top"/>
    </xf>
    <xf numFmtId="0" fontId="16" fillId="0" borderId="0" xfId="2" applyFont="1" applyAlignment="1">
      <alignment horizontal="right" vertical="top" wrapText="1"/>
    </xf>
    <xf numFmtId="0" fontId="13" fillId="0" borderId="0" xfId="2" applyAlignment="1">
      <alignment horizontal="left"/>
    </xf>
    <xf numFmtId="1" fontId="13" fillId="0" borderId="0" xfId="2" applyNumberFormat="1"/>
    <xf numFmtId="0" fontId="13" fillId="0" borderId="0" xfId="2" applyAlignment="1">
      <alignment horizontal="right"/>
    </xf>
    <xf numFmtId="170" fontId="13" fillId="0" borderId="0" xfId="2" applyNumberFormat="1"/>
    <xf numFmtId="2" fontId="13" fillId="0" borderId="0" xfId="2" applyNumberFormat="1"/>
    <xf numFmtId="37" fontId="11" fillId="0" borderId="0" xfId="1" applyNumberFormat="1" applyFont="1"/>
    <xf numFmtId="37" fontId="11" fillId="0" borderId="5" xfId="1" applyNumberFormat="1" applyFont="1" applyBorder="1"/>
    <xf numFmtId="37" fontId="3" fillId="0" borderId="0" xfId="1" applyNumberFormat="1" applyFont="1"/>
    <xf numFmtId="37" fontId="8" fillId="0" borderId="0" xfId="1" applyNumberFormat="1" applyFont="1"/>
    <xf numFmtId="37" fontId="8" fillId="0" borderId="5" xfId="1" applyNumberFormat="1" applyFont="1" applyBorder="1"/>
    <xf numFmtId="37" fontId="11" fillId="0" borderId="3" xfId="1" applyNumberFormat="1" applyFont="1" applyBorder="1"/>
    <xf numFmtId="37" fontId="3" fillId="0" borderId="4" xfId="1" applyNumberFormat="1" applyFont="1" applyBorder="1"/>
    <xf numFmtId="37" fontId="3" fillId="0" borderId="2" xfId="1" applyNumberFormat="1" applyFont="1" applyBorder="1"/>
    <xf numFmtId="37" fontId="8" fillId="0" borderId="8" xfId="1" applyNumberFormat="1" applyFont="1" applyBorder="1"/>
    <xf numFmtId="37" fontId="8" fillId="0" borderId="7" xfId="1" applyNumberFormat="1" applyFont="1" applyBorder="1"/>
    <xf numFmtId="37" fontId="8" fillId="0" borderId="2" xfId="1" applyNumberFormat="1" applyFont="1" applyBorder="1"/>
    <xf numFmtId="42" fontId="11" fillId="0" borderId="0" xfId="1" applyNumberFormat="1" applyFont="1"/>
    <xf numFmtId="42" fontId="11" fillId="0" borderId="5" xfId="1" applyNumberFormat="1" applyFont="1" applyBorder="1"/>
    <xf numFmtId="42" fontId="3" fillId="0" borderId="0" xfId="1" applyNumberFormat="1" applyFont="1"/>
    <xf numFmtId="42" fontId="8" fillId="0" borderId="0" xfId="1" applyNumberFormat="1" applyFont="1"/>
    <xf numFmtId="42" fontId="8" fillId="0" borderId="5" xfId="1" applyNumberFormat="1" applyFont="1" applyBorder="1"/>
    <xf numFmtId="37" fontId="3" fillId="0" borderId="5" xfId="1" applyNumberFormat="1" applyFont="1" applyBorder="1"/>
    <xf numFmtId="42" fontId="3" fillId="0" borderId="5" xfId="1" applyNumberFormat="1" applyFont="1" applyBorder="1"/>
    <xf numFmtId="0" fontId="8" fillId="0" borderId="2" xfId="3" applyFont="1" applyBorder="1"/>
    <xf numFmtId="0" fontId="4" fillId="0" borderId="2" xfId="3" applyFont="1" applyBorder="1"/>
    <xf numFmtId="0" fontId="18" fillId="0" borderId="2" xfId="3" applyFont="1" applyBorder="1"/>
    <xf numFmtId="0" fontId="18" fillId="0" borderId="3" xfId="3" applyFont="1" applyBorder="1"/>
    <xf numFmtId="0" fontId="17" fillId="0" borderId="0" xfId="3"/>
    <xf numFmtId="0" fontId="8" fillId="0" borderId="0" xfId="3" applyFont="1"/>
    <xf numFmtId="37" fontId="8" fillId="0" borderId="0" xfId="3" applyNumberFormat="1" applyFont="1"/>
    <xf numFmtId="37" fontId="8" fillId="0" borderId="5" xfId="3" applyNumberFormat="1" applyFont="1" applyBorder="1"/>
    <xf numFmtId="37" fontId="19" fillId="0" borderId="0" xfId="3" applyNumberFormat="1" applyFont="1" applyFill="1"/>
    <xf numFmtId="39" fontId="8" fillId="0" borderId="0" xfId="3" applyNumberFormat="1" applyFont="1"/>
    <xf numFmtId="39" fontId="8" fillId="0" borderId="5" xfId="3" applyNumberFormat="1" applyFont="1" applyBorder="1"/>
    <xf numFmtId="37" fontId="19" fillId="0" borderId="0" xfId="3" applyNumberFormat="1" applyFont="1"/>
    <xf numFmtId="39" fontId="19" fillId="0" borderId="0" xfId="3" applyNumberFormat="1" applyFont="1"/>
    <xf numFmtId="172" fontId="8" fillId="0" borderId="0" xfId="3" applyNumberFormat="1" applyFont="1"/>
    <xf numFmtId="172" fontId="19" fillId="0" borderId="0" xfId="3" applyNumberFormat="1" applyFont="1"/>
    <xf numFmtId="0" fontId="19" fillId="0" borderId="0" xfId="3" applyFont="1"/>
    <xf numFmtId="0" fontId="4" fillId="0" borderId="0" xfId="3" applyFont="1"/>
    <xf numFmtId="0" fontId="10" fillId="2" borderId="0" xfId="2" applyFont="1" applyFill="1" applyAlignment="1">
      <alignment horizontal="centerContinuous"/>
    </xf>
    <xf numFmtId="0" fontId="9" fillId="2" borderId="0" xfId="2" applyFont="1" applyFill="1" applyAlignment="1">
      <alignment horizontal="centerContinuous"/>
    </xf>
    <xf numFmtId="0" fontId="8" fillId="0" borderId="0" xfId="1" applyFont="1"/>
    <xf numFmtId="0" fontId="8" fillId="0" borderId="0" xfId="0" applyFont="1" applyFill="1"/>
    <xf numFmtId="0" fontId="6" fillId="0" borderId="9" xfId="2" applyFont="1" applyBorder="1"/>
    <xf numFmtId="0" fontId="3" fillId="0" borderId="8" xfId="2" applyFont="1" applyBorder="1"/>
    <xf numFmtId="0" fontId="8" fillId="0" borderId="8" xfId="2" applyFont="1" applyBorder="1"/>
    <xf numFmtId="0" fontId="8" fillId="0" borderId="7" xfId="2" applyFont="1" applyBorder="1"/>
    <xf numFmtId="0" fontId="4" fillId="0" borderId="9" xfId="2" applyFont="1" applyBorder="1"/>
    <xf numFmtId="0" fontId="3" fillId="0" borderId="6" xfId="2" applyFont="1" applyBorder="1"/>
    <xf numFmtId="0" fontId="3" fillId="0" borderId="0" xfId="2" applyFont="1"/>
    <xf numFmtId="0" fontId="8" fillId="0" borderId="0" xfId="2" applyFont="1"/>
    <xf numFmtId="37" fontId="19" fillId="0" borderId="5" xfId="0" applyNumberFormat="1" applyFont="1" applyBorder="1"/>
    <xf numFmtId="0" fontId="8" fillId="0" borderId="6" xfId="2" applyFont="1" applyBorder="1"/>
    <xf numFmtId="8" fontId="19" fillId="0" borderId="5" xfId="0" applyNumberFormat="1" applyFont="1" applyBorder="1"/>
    <xf numFmtId="0" fontId="8" fillId="0" borderId="5" xfId="0" applyFont="1" applyBorder="1"/>
    <xf numFmtId="37" fontId="8" fillId="0" borderId="5" xfId="0" applyNumberFormat="1" applyFont="1" applyBorder="1"/>
    <xf numFmtId="6" fontId="8" fillId="0" borderId="5" xfId="0" applyNumberFormat="1" applyFont="1" applyBorder="1"/>
    <xf numFmtId="0" fontId="3" fillId="0" borderId="4" xfId="2" applyFont="1" applyBorder="1"/>
    <xf numFmtId="0" fontId="3" fillId="0" borderId="2" xfId="2" applyFont="1" applyBorder="1"/>
    <xf numFmtId="164" fontId="3" fillId="0" borderId="3" xfId="2" applyNumberFormat="1" applyFont="1" applyBorder="1"/>
    <xf numFmtId="0" fontId="10" fillId="0" borderId="0" xfId="1" applyFont="1" applyAlignment="1">
      <alignment horizontal="centerContinuous"/>
    </xf>
    <xf numFmtId="0" fontId="9" fillId="0" borderId="0" xfId="1" applyFont="1" applyAlignment="1">
      <alignment horizontal="centerContinuous"/>
    </xf>
    <xf numFmtId="0" fontId="6" fillId="0" borderId="0" xfId="0" applyFont="1"/>
    <xf numFmtId="0" fontId="3" fillId="0" borderId="0" xfId="0" applyFont="1"/>
    <xf numFmtId="0" fontId="8" fillId="0" borderId="0" xfId="0" applyFont="1"/>
    <xf numFmtId="171" fontId="8" fillId="0" borderId="0" xfId="0" applyNumberFormat="1" applyFont="1"/>
    <xf numFmtId="172" fontId="19" fillId="0" borderId="0" xfId="0" applyNumberFormat="1" applyFont="1"/>
    <xf numFmtId="39" fontId="8" fillId="0" borderId="0" xfId="0" applyNumberFormat="1" applyFont="1"/>
    <xf numFmtId="0" fontId="6" fillId="0" borderId="0" xfId="0" applyFont="1" applyAlignment="1">
      <alignment horizontal="center"/>
    </xf>
    <xf numFmtId="0" fontId="6" fillId="0" borderId="0" xfId="0" applyFont="1" applyFill="1" applyAlignment="1">
      <alignment horizontal="center"/>
    </xf>
    <xf numFmtId="0" fontId="6" fillId="0" borderId="12" xfId="0" applyFont="1" applyBorder="1"/>
    <xf numFmtId="173" fontId="6" fillId="0" borderId="12" xfId="0" applyNumberFormat="1" applyFont="1" applyBorder="1" applyAlignment="1">
      <alignment horizontal="center"/>
    </xf>
    <xf numFmtId="0" fontId="6" fillId="0" borderId="12" xfId="0" applyFont="1" applyBorder="1" applyAlignment="1">
      <alignment horizontal="center"/>
    </xf>
    <xf numFmtId="166" fontId="7" fillId="0" borderId="0" xfId="0" applyNumberFormat="1" applyFont="1"/>
    <xf numFmtId="166" fontId="7" fillId="0" borderId="0" xfId="0" applyNumberFormat="1" applyFont="1" applyFill="1"/>
    <xf numFmtId="2" fontId="3" fillId="0" borderId="0" xfId="0" applyNumberFormat="1" applyFont="1"/>
    <xf numFmtId="39" fontId="7" fillId="0" borderId="0" xfId="0" applyNumberFormat="1" applyFont="1" applyFill="1"/>
    <xf numFmtId="39" fontId="3" fillId="0" borderId="0" xfId="0" applyNumberFormat="1" applyFont="1"/>
    <xf numFmtId="166" fontId="3" fillId="0" borderId="0" xfId="0" applyNumberFormat="1" applyFont="1"/>
    <xf numFmtId="171" fontId="3" fillId="0" borderId="0" xfId="0" applyNumberFormat="1" applyFont="1"/>
    <xf numFmtId="39" fontId="6" fillId="0" borderId="0" xfId="0" applyNumberFormat="1" applyFont="1"/>
    <xf numFmtId="37" fontId="19" fillId="0" borderId="0" xfId="1" applyNumberFormat="1" applyFont="1"/>
    <xf numFmtId="8" fontId="19" fillId="0" borderId="0" xfId="0" applyNumberFormat="1" applyFont="1"/>
    <xf numFmtId="37" fontId="19" fillId="0" borderId="0" xfId="0" applyNumberFormat="1" applyFont="1"/>
    <xf numFmtId="165" fontId="19" fillId="0" borderId="0" xfId="1" applyNumberFormat="1" applyFont="1"/>
    <xf numFmtId="174" fontId="8" fillId="0" borderId="0" xfId="0" applyNumberFormat="1" applyFont="1"/>
    <xf numFmtId="0" fontId="22" fillId="0" borderId="0" xfId="3" applyFont="1"/>
    <xf numFmtId="0" fontId="23" fillId="0" borderId="0" xfId="3" applyFont="1"/>
    <xf numFmtId="0" fontId="24" fillId="0" borderId="0" xfId="3" applyFont="1"/>
    <xf numFmtId="8" fontId="24" fillId="0" borderId="13" xfId="3" applyNumberFormat="1" applyFont="1" applyFill="1" applyBorder="1"/>
    <xf numFmtId="44" fontId="25" fillId="0" borderId="13" xfId="4" applyFont="1" applyFill="1" applyBorder="1"/>
    <xf numFmtId="2" fontId="25" fillId="0" borderId="13" xfId="3" applyNumberFormat="1" applyFont="1" applyFill="1" applyBorder="1"/>
    <xf numFmtId="10" fontId="25" fillId="0" borderId="13" xfId="5" applyNumberFormat="1" applyFont="1" applyFill="1" applyBorder="1"/>
    <xf numFmtId="10" fontId="25" fillId="0" borderId="13" xfId="3" applyNumberFormat="1" applyFont="1" applyFill="1" applyBorder="1"/>
    <xf numFmtId="4" fontId="24" fillId="0" borderId="0" xfId="3" applyNumberFormat="1" applyFont="1" applyFill="1"/>
    <xf numFmtId="0" fontId="24" fillId="0" borderId="13" xfId="3" applyFont="1" applyBorder="1"/>
    <xf numFmtId="0" fontId="26" fillId="0" borderId="0" xfId="3" applyFont="1"/>
    <xf numFmtId="0" fontId="27" fillId="0" borderId="0" xfId="3" applyFont="1"/>
    <xf numFmtId="0" fontId="28" fillId="0" borderId="0" xfId="3" applyFont="1"/>
    <xf numFmtId="0" fontId="29" fillId="0" borderId="0" xfId="3" applyFont="1"/>
    <xf numFmtId="0" fontId="29" fillId="0" borderId="13" xfId="3" applyFont="1" applyBorder="1"/>
    <xf numFmtId="10" fontId="29" fillId="0" borderId="0" xfId="3" applyNumberFormat="1" applyFont="1"/>
    <xf numFmtId="3" fontId="24" fillId="0" borderId="13" xfId="3" applyNumberFormat="1" applyFont="1" applyBorder="1"/>
    <xf numFmtId="10" fontId="29" fillId="0" borderId="13" xfId="3" applyNumberFormat="1" applyFont="1" applyBorder="1"/>
    <xf numFmtId="175" fontId="29" fillId="0" borderId="13" xfId="6" applyNumberFormat="1" applyFont="1" applyBorder="1"/>
    <xf numFmtId="10" fontId="24" fillId="0" borderId="13" xfId="3" applyNumberFormat="1" applyFont="1" applyBorder="1"/>
    <xf numFmtId="44" fontId="24" fillId="0" borderId="14" xfId="4" applyFont="1" applyBorder="1"/>
    <xf numFmtId="44" fontId="24" fillId="0" borderId="0" xfId="4" applyFont="1"/>
    <xf numFmtId="8" fontId="24" fillId="0" borderId="14" xfId="3" applyNumberFormat="1" applyFont="1" applyBorder="1"/>
    <xf numFmtId="0" fontId="3" fillId="0" borderId="5" xfId="1" applyFont="1" applyBorder="1"/>
    <xf numFmtId="8" fontId="3" fillId="0" borderId="5" xfId="1" applyNumberFormat="1" applyFont="1" applyBorder="1"/>
    <xf numFmtId="7" fontId="3" fillId="0" borderId="3" xfId="1" applyNumberFormat="1" applyFont="1" applyBorder="1"/>
    <xf numFmtId="3" fontId="17" fillId="0" borderId="0" xfId="3" applyNumberFormat="1"/>
    <xf numFmtId="9" fontId="17" fillId="0" borderId="0" xfId="3" applyNumberFormat="1"/>
    <xf numFmtId="5" fontId="3" fillId="0" borderId="5" xfId="1" applyNumberFormat="1" applyFont="1" applyBorder="1"/>
    <xf numFmtId="37" fontId="30" fillId="0" borderId="13" xfId="3" applyNumberFormat="1" applyFont="1" applyFill="1" applyBorder="1"/>
    <xf numFmtId="167" fontId="7" fillId="0" borderId="0" xfId="1" applyNumberFormat="1" applyFont="1"/>
    <xf numFmtId="167" fontId="8" fillId="0" borderId="0" xfId="1" applyNumberFormat="1" applyFont="1"/>
    <xf numFmtId="0" fontId="3" fillId="0" borderId="0" xfId="1" applyFont="1" applyAlignment="1">
      <alignment horizontal="centerContinuous"/>
    </xf>
    <xf numFmtId="165" fontId="0" fillId="0" borderId="0" xfId="0" applyNumberFormat="1" applyFill="1"/>
    <xf numFmtId="167" fontId="0" fillId="0" borderId="0" xfId="0" applyNumberFormat="1" applyFill="1"/>
    <xf numFmtId="0" fontId="32" fillId="3" borderId="2" xfId="0" applyFont="1" applyFill="1" applyBorder="1" applyAlignment="1">
      <alignment horizontal="left"/>
    </xf>
    <xf numFmtId="0" fontId="32" fillId="3" borderId="15" xfId="0" applyFont="1" applyFill="1" applyBorder="1" applyAlignment="1">
      <alignment horizontal="left"/>
    </xf>
    <xf numFmtId="0" fontId="0" fillId="0" borderId="1" xfId="0" applyFill="1" applyBorder="1"/>
    <xf numFmtId="0" fontId="33" fillId="4" borderId="0" xfId="0" applyFont="1" applyFill="1" applyAlignment="1">
      <alignment horizontal="left"/>
    </xf>
    <xf numFmtId="0" fontId="34" fillId="4" borderId="1" xfId="0" applyFont="1" applyFill="1" applyBorder="1" applyAlignment="1">
      <alignment horizontal="left"/>
    </xf>
    <xf numFmtId="0" fontId="33" fillId="4" borderId="12" xfId="0" applyFont="1" applyFill="1" applyBorder="1" applyAlignment="1">
      <alignment horizontal="left"/>
    </xf>
    <xf numFmtId="0" fontId="35" fillId="3" borderId="15" xfId="0" applyFont="1" applyFill="1" applyBorder="1" applyAlignment="1">
      <alignment horizontal="right"/>
    </xf>
    <xf numFmtId="0" fontId="35" fillId="3" borderId="2" xfId="0" applyFont="1" applyFill="1" applyBorder="1" applyAlignment="1">
      <alignment horizontal="right"/>
    </xf>
    <xf numFmtId="165" fontId="0" fillId="5" borderId="0" xfId="0" applyNumberFormat="1" applyFill="1"/>
    <xf numFmtId="167" fontId="0" fillId="5" borderId="0" xfId="0" applyNumberFormat="1" applyFill="1"/>
    <xf numFmtId="164" fontId="0" fillId="0" borderId="0" xfId="0" applyNumberFormat="1" applyFill="1"/>
    <xf numFmtId="7" fontId="0" fillId="0" borderId="12" xfId="0" applyNumberFormat="1" applyFill="1" applyBorder="1"/>
    <xf numFmtId="0" fontId="37" fillId="0" borderId="9" xfId="7" applyFont="1" applyBorder="1"/>
    <xf numFmtId="0" fontId="17" fillId="0" borderId="7" xfId="7" applyBorder="1"/>
    <xf numFmtId="0" fontId="17" fillId="0" borderId="0" xfId="7"/>
    <xf numFmtId="0" fontId="37" fillId="0" borderId="4" xfId="7" applyFont="1" applyBorder="1"/>
    <xf numFmtId="0" fontId="17" fillId="0" borderId="3" xfId="7" applyBorder="1" applyAlignment="1">
      <alignment wrapText="1"/>
    </xf>
    <xf numFmtId="0" fontId="37" fillId="0" borderId="0" xfId="7" applyFont="1"/>
    <xf numFmtId="0" fontId="37" fillId="0" borderId="2" xfId="7" applyFont="1" applyBorder="1"/>
    <xf numFmtId="0" fontId="17" fillId="0" borderId="0" xfId="7" applyAlignment="1">
      <alignment vertical="center"/>
    </xf>
    <xf numFmtId="0" fontId="17" fillId="0" borderId="0" xfId="7" applyAlignment="1">
      <alignment wrapText="1"/>
    </xf>
    <xf numFmtId="0" fontId="17" fillId="0" borderId="0" xfId="7" applyAlignment="1">
      <alignment vertical="center" wrapText="1"/>
    </xf>
    <xf numFmtId="0" fontId="17" fillId="0" borderId="0" xfId="7" applyAlignment="1">
      <alignment horizontal="left" vertical="center" wrapText="1"/>
    </xf>
    <xf numFmtId="0" fontId="17" fillId="0" borderId="0" xfId="7" applyAlignment="1">
      <alignment vertical="top"/>
    </xf>
    <xf numFmtId="0" fontId="17" fillId="0" borderId="0" xfId="7" applyAlignment="1">
      <alignment horizontal="centerContinuous"/>
    </xf>
    <xf numFmtId="0" fontId="38" fillId="0" borderId="0" xfId="8" applyFont="1"/>
    <xf numFmtId="0" fontId="3" fillId="0" borderId="0" xfId="8" applyFont="1"/>
    <xf numFmtId="0" fontId="1" fillId="0" borderId="0" xfId="8"/>
    <xf numFmtId="0" fontId="12" fillId="0" borderId="0" xfId="8" applyFont="1"/>
    <xf numFmtId="0" fontId="6" fillId="0" borderId="0" xfId="8" applyFont="1" applyAlignment="1">
      <alignment horizontal="center"/>
    </xf>
    <xf numFmtId="0" fontId="6" fillId="0" borderId="0" xfId="8" applyFont="1" applyAlignment="1">
      <alignment horizontal="centerContinuous"/>
    </xf>
    <xf numFmtId="0" fontId="6" fillId="0" borderId="0" xfId="8" applyFont="1" applyAlignment="1">
      <alignment horizontal="centerContinuous" wrapText="1"/>
    </xf>
    <xf numFmtId="0" fontId="1" fillId="0" borderId="0" xfId="8" applyAlignment="1">
      <alignment horizontal="centerContinuous"/>
    </xf>
    <xf numFmtId="0" fontId="6" fillId="0" borderId="0" xfId="8" applyFont="1" applyAlignment="1">
      <alignment horizontal="fill"/>
    </xf>
    <xf numFmtId="0" fontId="6" fillId="0" borderId="12" xfId="8" applyFont="1" applyBorder="1"/>
    <xf numFmtId="173" fontId="6" fillId="0" borderId="12" xfId="8" applyNumberFormat="1" applyFont="1" applyBorder="1" applyAlignment="1">
      <alignment horizontal="center"/>
    </xf>
    <xf numFmtId="0" fontId="6" fillId="0" borderId="12" xfId="8" applyFont="1" applyBorder="1" applyAlignment="1">
      <alignment horizontal="center"/>
    </xf>
    <xf numFmtId="0" fontId="6" fillId="0" borderId="0" xfId="8" applyFont="1"/>
    <xf numFmtId="7" fontId="7" fillId="0" borderId="0" xfId="8" applyNumberFormat="1" applyFont="1"/>
    <xf numFmtId="0" fontId="3" fillId="0" borderId="0" xfId="7" applyFont="1"/>
    <xf numFmtId="166" fontId="3" fillId="0" borderId="0" xfId="8" applyNumberFormat="1" applyFont="1"/>
    <xf numFmtId="174" fontId="3" fillId="0" borderId="0" xfId="8" applyNumberFormat="1" applyFont="1"/>
    <xf numFmtId="165" fontId="7" fillId="0" borderId="0" xfId="8" applyNumberFormat="1" applyFont="1"/>
    <xf numFmtId="172" fontId="1" fillId="0" borderId="0" xfId="8" applyNumberFormat="1"/>
    <xf numFmtId="166" fontId="39" fillId="0" borderId="0" xfId="8" applyNumberFormat="1" applyFont="1"/>
    <xf numFmtId="39" fontId="39" fillId="0" borderId="0" xfId="8" applyNumberFormat="1" applyFont="1"/>
    <xf numFmtId="166" fontId="3" fillId="0" borderId="0" xfId="8" applyNumberFormat="1" applyFont="1" applyAlignment="1">
      <alignment horizontal="right"/>
    </xf>
    <xf numFmtId="174" fontId="3" fillId="0" borderId="9" xfId="8" applyNumberFormat="1" applyFont="1" applyBorder="1"/>
    <xf numFmtId="174" fontId="3" fillId="0" borderId="8" xfId="8" applyNumberFormat="1" applyFont="1" applyBorder="1"/>
    <xf numFmtId="174" fontId="39" fillId="0" borderId="8" xfId="8" applyNumberFormat="1" applyFont="1" applyBorder="1"/>
    <xf numFmtId="172" fontId="3" fillId="0" borderId="7" xfId="8" applyNumberFormat="1" applyFont="1" applyBorder="1"/>
    <xf numFmtId="174" fontId="3" fillId="6" borderId="6" xfId="8" applyNumberFormat="1" applyFont="1" applyFill="1" applyBorder="1"/>
    <xf numFmtId="174" fontId="3" fillId="6" borderId="0" xfId="8" applyNumberFormat="1" applyFont="1" applyFill="1"/>
    <xf numFmtId="174" fontId="39" fillId="6" borderId="0" xfId="8" applyNumberFormat="1" applyFont="1" applyFill="1"/>
    <xf numFmtId="172" fontId="3" fillId="6" borderId="5" xfId="8" applyNumberFormat="1" applyFont="1" applyFill="1" applyBorder="1"/>
    <xf numFmtId="174" fontId="3" fillId="0" borderId="4" xfId="8" applyNumberFormat="1" applyFont="1" applyBorder="1"/>
    <xf numFmtId="174" fontId="3" fillId="0" borderId="2" xfId="8" applyNumberFormat="1" applyFont="1" applyBorder="1"/>
    <xf numFmtId="174" fontId="39" fillId="0" borderId="2" xfId="8" applyNumberFormat="1" applyFont="1" applyBorder="1"/>
    <xf numFmtId="172" fontId="3" fillId="0" borderId="3" xfId="8" applyNumberFormat="1" applyFont="1" applyBorder="1"/>
    <xf numFmtId="0" fontId="6" fillId="0" borderId="0" xfId="8" applyFont="1" applyAlignment="1">
      <alignment horizontal="center" wrapText="1"/>
    </xf>
    <xf numFmtId="7" fontId="8" fillId="0" borderId="0" xfId="8" applyNumberFormat="1" applyFont="1"/>
    <xf numFmtId="174" fontId="7" fillId="0" borderId="0" xfId="8" applyNumberFormat="1" applyFont="1"/>
    <xf numFmtId="174" fontId="1" fillId="0" borderId="0" xfId="8" applyNumberFormat="1"/>
    <xf numFmtId="7" fontId="1" fillId="0" borderId="0" xfId="8" applyNumberFormat="1"/>
    <xf numFmtId="0" fontId="31" fillId="0" borderId="0" xfId="9" applyFont="1"/>
    <xf numFmtId="0" fontId="40" fillId="0" borderId="0" xfId="9" applyFont="1"/>
    <xf numFmtId="0" fontId="1" fillId="0" borderId="0" xfId="9"/>
    <xf numFmtId="0" fontId="31" fillId="0" borderId="0" xfId="9" applyFont="1" applyAlignment="1">
      <alignment horizontal="centerContinuous"/>
    </xf>
    <xf numFmtId="0" fontId="31" fillId="0" borderId="0" xfId="9" applyFont="1" applyAlignment="1">
      <alignment vertical="center" wrapText="1"/>
    </xf>
    <xf numFmtId="0" fontId="1" fillId="0" borderId="0" xfId="9" applyAlignment="1">
      <alignment horizontal="centerContinuous"/>
    </xf>
    <xf numFmtId="14" fontId="1" fillId="0" borderId="0" xfId="9" applyNumberFormat="1" applyAlignment="1">
      <alignment horizontal="center" vertical="center" wrapText="1"/>
    </xf>
    <xf numFmtId="14" fontId="1" fillId="0" borderId="0" xfId="9" applyNumberFormat="1"/>
    <xf numFmtId="166" fontId="1" fillId="0" borderId="0" xfId="9" applyNumberFormat="1"/>
    <xf numFmtId="0" fontId="36" fillId="0" borderId="0" xfId="0" applyFont="1"/>
    <xf numFmtId="0" fontId="42" fillId="0" borderId="0" xfId="0" applyFont="1" applyAlignment="1">
      <alignment horizontal="left" vertical="top" wrapText="1"/>
    </xf>
    <xf numFmtId="172" fontId="17" fillId="0" borderId="0" xfId="7" applyNumberFormat="1"/>
    <xf numFmtId="37" fontId="17" fillId="0" borderId="0" xfId="7" applyNumberFormat="1"/>
    <xf numFmtId="0" fontId="17" fillId="0" borderId="2" xfId="7" applyBorder="1"/>
    <xf numFmtId="37" fontId="41" fillId="0" borderId="0" xfId="9" applyNumberFormat="1" applyFont="1"/>
    <xf numFmtId="37" fontId="1" fillId="0" borderId="0" xfId="9" applyNumberFormat="1"/>
    <xf numFmtId="37" fontId="7" fillId="0" borderId="0" xfId="8" applyNumberFormat="1" applyFont="1"/>
    <xf numFmtId="37" fontId="3" fillId="0" borderId="0" xfId="8" applyNumberFormat="1" applyFont="1"/>
    <xf numFmtId="0" fontId="43" fillId="0" borderId="0" xfId="8" applyFont="1"/>
    <xf numFmtId="39" fontId="43" fillId="0" borderId="0" xfId="8" applyNumberFormat="1" applyFont="1"/>
    <xf numFmtId="0" fontId="43" fillId="0" borderId="0" xfId="7" applyFont="1"/>
    <xf numFmtId="37" fontId="43" fillId="0" borderId="0" xfId="8" applyNumberFormat="1" applyFont="1"/>
    <xf numFmtId="174" fontId="43" fillId="0" borderId="0" xfId="8" applyNumberFormat="1" applyFont="1"/>
    <xf numFmtId="165" fontId="43" fillId="0" borderId="0" xfId="8" applyNumberFormat="1" applyFont="1"/>
    <xf numFmtId="7" fontId="43" fillId="0" borderId="0" xfId="8" applyNumberFormat="1" applyFont="1"/>
    <xf numFmtId="166" fontId="43" fillId="0" borderId="0" xfId="8" applyNumberFormat="1" applyFont="1"/>
    <xf numFmtId="0" fontId="44" fillId="0" borderId="0" xfId="7" applyFont="1"/>
    <xf numFmtId="0" fontId="44" fillId="0" borderId="2" xfId="7" applyFont="1" applyBorder="1"/>
    <xf numFmtId="0" fontId="45" fillId="0" borderId="0" xfId="7" applyFont="1"/>
    <xf numFmtId="174" fontId="8" fillId="0" borderId="0" xfId="8" applyNumberFormat="1" applyFont="1"/>
    <xf numFmtId="172" fontId="46" fillId="0" borderId="0" xfId="8" applyNumberFormat="1" applyFont="1"/>
    <xf numFmtId="0" fontId="46" fillId="0" borderId="0" xfId="8" applyFont="1"/>
  </cellXfs>
  <cellStyles count="10">
    <cellStyle name="Comma 2" xfId="6" xr:uid="{9E963391-B9D6-4A70-9490-AEF976AC366A}"/>
    <cellStyle name="Currency 2" xfId="4" xr:uid="{8787B25A-9203-4F1E-8293-829C5A699BD9}"/>
    <cellStyle name="Normal" xfId="0" builtinId="0"/>
    <cellStyle name="Normal 2" xfId="1" xr:uid="{00000000-0005-0000-0000-000001000000}"/>
    <cellStyle name="Normal 2 2" xfId="2" xr:uid="{71BF252B-B29D-4A0E-A8D5-1F55FF0B8063}"/>
    <cellStyle name="Normal 2 3" xfId="7" xr:uid="{903D606C-DDA7-47A8-9914-4FDB332CFD29}"/>
    <cellStyle name="Normal 3" xfId="3" xr:uid="{C5A2F2B2-414B-4284-A4DE-F8E4D867AD9A}"/>
    <cellStyle name="Normal 4" xfId="8" xr:uid="{41D245DC-7B61-4FB2-877E-599072499EA1}"/>
    <cellStyle name="Normal 5" xfId="9" xr:uid="{D31F441A-AFEA-4F1F-B6F3-3DEF1ABE0269}"/>
    <cellStyle name="Percent 2" xfId="5" xr:uid="{D541AD45-6395-4EC2-B9E0-B39F50AC5007}"/>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B9A01F27-A94C-4685-8BB8-E08142512556}"/>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92D2E9F0-296A-4223-A0A5-759F7AB662FF}"/>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9652CFA3-E575-4F69-92C7-E9277F06C208}"/>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Teaching/FNCE%203477/Gentex%20case%20study/2018S/10.%20Gentex_ValuationChart_Solution_2018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tran13/Downloads/KKD_multi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TX_Chart"/>
      <sheetName val="GNTX_DCF"/>
      <sheetName val="GNTX_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RegBeta"/>
      <sheetName val="Gentex_BS_Vertical"/>
      <sheetName val="Gentex_IS_Vertical"/>
      <sheetName val="Gentex_IS_Horizontal"/>
      <sheetName val="Gentex_Ratios"/>
    </sheetNames>
    <sheetDataSet>
      <sheetData sheetId="0">
        <row r="8">
          <cell r="F8" t="str">
            <v>Low</v>
          </cell>
        </row>
      </sheetData>
      <sheetData sheetId="1"/>
      <sheetData sheetId="2"/>
      <sheetData sheetId="3"/>
      <sheetData sheetId="4"/>
      <sheetData sheetId="5">
        <row r="109">
          <cell r="B109">
            <v>393</v>
          </cell>
        </row>
      </sheetData>
      <sheetData sheetId="6">
        <row r="109">
          <cell r="B109">
            <v>393</v>
          </cell>
        </row>
      </sheetData>
      <sheetData sheetId="7"/>
      <sheetData sheetId="8"/>
      <sheetData sheetId="9">
        <row r="78">
          <cell r="B78">
            <v>144.66900000000001</v>
          </cell>
        </row>
      </sheetData>
      <sheetData sheetId="10">
        <row r="78">
          <cell r="B78">
            <v>144.66900000000001</v>
          </cell>
        </row>
      </sheetData>
      <sheetData sheetId="11"/>
      <sheetData sheetId="12"/>
      <sheetData sheetId="13">
        <row r="111">
          <cell r="B111">
            <v>2188.2999999999997</v>
          </cell>
        </row>
      </sheetData>
      <sheetData sheetId="14">
        <row r="111">
          <cell r="B111">
            <v>2188.2999999999997</v>
          </cell>
        </row>
      </sheetData>
      <sheetData sheetId="15"/>
      <sheetData sheetId="16"/>
      <sheetData sheetId="17">
        <row r="65">
          <cell r="B65">
            <v>3975.2000000000003</v>
          </cell>
        </row>
      </sheetData>
      <sheetData sheetId="18">
        <row r="65">
          <cell r="B65">
            <v>3975.2000000000003</v>
          </cell>
        </row>
      </sheetData>
      <sheetData sheetId="19"/>
      <sheetData sheetId="20"/>
      <sheetData sheetId="21">
        <row r="94">
          <cell r="B94">
            <v>1799</v>
          </cell>
        </row>
      </sheetData>
      <sheetData sheetId="22">
        <row r="94">
          <cell r="B94">
            <v>1799</v>
          </cell>
        </row>
      </sheetData>
      <sheetData sheetId="23"/>
      <sheetData sheetId="24"/>
      <sheetData sheetId="25">
        <row r="58">
          <cell r="B58">
            <v>1960.5</v>
          </cell>
        </row>
      </sheetData>
      <sheetData sheetId="26">
        <row r="11">
          <cell r="E11">
            <v>-644.27200000000005</v>
          </cell>
        </row>
        <row r="58">
          <cell r="B58">
            <v>1960.5</v>
          </cell>
        </row>
      </sheetData>
      <sheetData sheetId="27">
        <row r="11">
          <cell r="E11">
            <v>-644.27200000000005</v>
          </cell>
        </row>
        <row r="12">
          <cell r="E12">
            <v>0</v>
          </cell>
        </row>
        <row r="13">
          <cell r="E13">
            <v>0</v>
          </cell>
        </row>
      </sheetData>
      <sheetData sheetId="28"/>
      <sheetData sheetId="29"/>
      <sheetData sheetId="30">
        <row r="30">
          <cell r="B30">
            <v>78</v>
          </cell>
        </row>
      </sheetData>
      <sheetData sheetId="31">
        <row r="2">
          <cell r="H2">
            <v>1.2817751894259708</v>
          </cell>
        </row>
      </sheetData>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FA4E2-720F-4AA7-98C5-53C3D6CB9A11}">
  <sheetPr codeName="Sheet7"/>
  <dimension ref="B2:D14"/>
  <sheetViews>
    <sheetView tabSelected="1" workbookViewId="0">
      <selection activeCell="D6" sqref="D6"/>
    </sheetView>
  </sheetViews>
  <sheetFormatPr defaultColWidth="8.77734375" defaultRowHeight="13.2"/>
  <cols>
    <col min="1" max="1" width="3.21875" style="182" customWidth="1"/>
    <col min="2" max="2" width="42.77734375" style="182" bestFit="1" customWidth="1"/>
    <col min="3" max="3" width="39.33203125" style="182" customWidth="1"/>
    <col min="4" max="4" width="21.44140625" style="182" customWidth="1"/>
    <col min="5" max="16384" width="8.77734375" style="182"/>
  </cols>
  <sheetData>
    <row r="2" spans="2:4">
      <c r="B2" s="180" t="s">
        <v>317</v>
      </c>
      <c r="C2" s="181" t="s">
        <v>386</v>
      </c>
    </row>
    <row r="3" spans="2:4">
      <c r="B3" s="183" t="s">
        <v>318</v>
      </c>
      <c r="C3" s="184" t="s">
        <v>387</v>
      </c>
    </row>
    <row r="4" spans="2:4">
      <c r="B4" s="185"/>
    </row>
    <row r="5" spans="2:4">
      <c r="B5" s="186" t="s">
        <v>319</v>
      </c>
      <c r="C5" s="186" t="s">
        <v>320</v>
      </c>
    </row>
    <row r="6" spans="2:4" ht="237" customHeight="1">
      <c r="B6" s="187" t="s">
        <v>321</v>
      </c>
      <c r="C6" s="188" t="s">
        <v>389</v>
      </c>
    </row>
    <row r="7" spans="2:4" ht="158.4">
      <c r="B7" s="182" t="s">
        <v>322</v>
      </c>
      <c r="C7" s="188" t="s">
        <v>390</v>
      </c>
    </row>
    <row r="8" spans="2:4">
      <c r="B8" s="182" t="s">
        <v>395</v>
      </c>
      <c r="C8" s="182" t="s">
        <v>396</v>
      </c>
    </row>
    <row r="9" spans="2:4" ht="71.400000000000006" customHeight="1">
      <c r="B9" s="182" t="s">
        <v>323</v>
      </c>
      <c r="C9" s="188" t="s">
        <v>394</v>
      </c>
    </row>
    <row r="10" spans="2:4" ht="199.2" customHeight="1">
      <c r="B10" s="182" t="s">
        <v>324</v>
      </c>
      <c r="C10" s="189" t="s">
        <v>392</v>
      </c>
      <c r="D10" s="190" t="s">
        <v>393</v>
      </c>
    </row>
    <row r="11" spans="2:4" ht="132">
      <c r="B11" s="182" t="s">
        <v>325</v>
      </c>
      <c r="C11" s="188" t="s">
        <v>391</v>
      </c>
    </row>
    <row r="12" spans="2:4" ht="39.6">
      <c r="B12" s="182" t="s">
        <v>326</v>
      </c>
      <c r="C12" s="188" t="s">
        <v>398</v>
      </c>
    </row>
    <row r="13" spans="2:4" ht="221.4" customHeight="1">
      <c r="B13" s="182" t="s">
        <v>327</v>
      </c>
      <c r="C13" s="188" t="s">
        <v>397</v>
      </c>
    </row>
    <row r="14" spans="2:4">
      <c r="C14" s="18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A2258-1D94-4C7F-83C9-E580CFC7481D}">
  <sheetPr codeName="Sheet10"/>
  <dimension ref="B2:I18"/>
  <sheetViews>
    <sheetView topLeftCell="A13" workbookViewId="0">
      <selection activeCell="C6" sqref="C6"/>
    </sheetView>
  </sheetViews>
  <sheetFormatPr defaultColWidth="9.21875" defaultRowHeight="14.4"/>
  <cols>
    <col min="1" max="1" width="3.21875" style="234" customWidth="1"/>
    <col min="2" max="2" width="21" style="234" customWidth="1"/>
    <col min="3" max="3" width="17.21875" style="234" customWidth="1"/>
    <col min="4" max="4" width="3.21875" style="234" customWidth="1"/>
    <col min="5" max="6" width="15.44140625" style="234" customWidth="1"/>
    <col min="7" max="7" width="3.21875" style="234" customWidth="1"/>
    <col min="8" max="8" width="17.5546875" style="234" customWidth="1"/>
    <col min="9" max="9" width="9.44140625" style="234" bestFit="1" customWidth="1"/>
    <col min="10" max="16384" width="9.21875" style="234"/>
  </cols>
  <sheetData>
    <row r="2" spans="2:9">
      <c r="B2" s="232" t="s">
        <v>375</v>
      </c>
      <c r="C2" s="233" t="s">
        <v>472</v>
      </c>
    </row>
    <row r="3" spans="2:9">
      <c r="B3" s="232"/>
    </row>
    <row r="4" spans="2:9">
      <c r="C4" s="235" t="s">
        <v>376</v>
      </c>
      <c r="D4" s="236"/>
      <c r="E4" s="235" t="s">
        <v>490</v>
      </c>
      <c r="F4" s="235"/>
      <c r="G4" s="232"/>
      <c r="H4" s="235" t="s">
        <v>377</v>
      </c>
      <c r="I4" s="237"/>
    </row>
    <row r="5" spans="2:9">
      <c r="C5" s="238">
        <v>44561</v>
      </c>
      <c r="D5" s="238"/>
      <c r="E5" s="238">
        <v>44834</v>
      </c>
      <c r="F5" s="238">
        <v>44469</v>
      </c>
      <c r="G5" s="238"/>
      <c r="H5" s="238">
        <v>44834</v>
      </c>
      <c r="I5" s="239"/>
    </row>
    <row r="6" spans="2:9">
      <c r="B6" s="234" t="s">
        <v>378</v>
      </c>
      <c r="C6" s="246">
        <v>101475</v>
      </c>
      <c r="D6" s="247"/>
      <c r="E6" s="246">
        <v>98567</v>
      </c>
      <c r="F6" s="246">
        <v>73210</v>
      </c>
      <c r="G6" s="247"/>
      <c r="H6" s="247">
        <f>E6+C6-F6</f>
        <v>126832</v>
      </c>
    </row>
    <row r="7" spans="2:9">
      <c r="B7" s="234" t="s">
        <v>39</v>
      </c>
      <c r="C7" s="246">
        <v>-47468</v>
      </c>
      <c r="D7" s="247"/>
      <c r="E7" s="246">
        <v>-39374</v>
      </c>
      <c r="F7" s="246">
        <v>-33406</v>
      </c>
      <c r="G7" s="247"/>
      <c r="H7" s="247">
        <f t="shared" ref="H7:H8" si="0">E7+C7-F7</f>
        <v>-53436</v>
      </c>
    </row>
    <row r="8" spans="2:9">
      <c r="B8" s="234" t="s">
        <v>379</v>
      </c>
      <c r="C8" s="246">
        <f>C7+1032</f>
        <v>-46436</v>
      </c>
      <c r="D8" s="247"/>
      <c r="E8" s="246">
        <f>E7+1465</f>
        <v>-37909</v>
      </c>
      <c r="F8" s="246">
        <f>F7+723</f>
        <v>-32683</v>
      </c>
      <c r="G8" s="247"/>
      <c r="H8" s="247">
        <f t="shared" si="0"/>
        <v>-51662</v>
      </c>
    </row>
    <row r="10" spans="2:9">
      <c r="H10" s="235" t="s">
        <v>380</v>
      </c>
      <c r="I10" s="237"/>
    </row>
    <row r="11" spans="2:9">
      <c r="H11" s="238">
        <v>44834</v>
      </c>
      <c r="I11" s="239"/>
    </row>
    <row r="12" spans="2:9">
      <c r="B12" s="234" t="s">
        <v>381</v>
      </c>
      <c r="H12" s="246">
        <f>74340+7073-51306-53826</f>
        <v>-23719</v>
      </c>
      <c r="I12" s="240"/>
    </row>
    <row r="13" spans="2:9">
      <c r="B13" s="234" t="s">
        <v>382</v>
      </c>
      <c r="H13" s="246">
        <v>0</v>
      </c>
    </row>
    <row r="14" spans="2:9">
      <c r="B14" s="234" t="s">
        <v>383</v>
      </c>
      <c r="H14" s="246">
        <v>0</v>
      </c>
    </row>
    <row r="15" spans="2:9">
      <c r="H15" s="246"/>
    </row>
    <row r="16" spans="2:9">
      <c r="B16" s="234" t="s">
        <v>384</v>
      </c>
      <c r="H16" s="246">
        <f>51306+53826</f>
        <v>105132</v>
      </c>
    </row>
    <row r="17" spans="2:8">
      <c r="B17" s="234" t="s">
        <v>385</v>
      </c>
      <c r="H17" s="246">
        <v>162544</v>
      </c>
    </row>
    <row r="18" spans="2:8">
      <c r="C18" s="24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04BBA-18C5-4C52-B33C-21BA708E617A}">
  <sheetPr codeName="Sheet11"/>
  <dimension ref="B2:I18"/>
  <sheetViews>
    <sheetView workbookViewId="0">
      <selection activeCell="H17" sqref="H17"/>
    </sheetView>
  </sheetViews>
  <sheetFormatPr defaultColWidth="9.21875" defaultRowHeight="14.4"/>
  <cols>
    <col min="1" max="1" width="3.21875" style="234" customWidth="1"/>
    <col min="2" max="2" width="21" style="234" customWidth="1"/>
    <col min="3" max="3" width="17.21875" style="234" customWidth="1"/>
    <col min="4" max="4" width="3.21875" style="234" customWidth="1"/>
    <col min="5" max="6" width="15.44140625" style="234" customWidth="1"/>
    <col min="7" max="7" width="3.21875" style="234" customWidth="1"/>
    <col min="8" max="8" width="17.5546875" style="234" customWidth="1"/>
    <col min="9" max="9" width="9.44140625" style="234" bestFit="1" customWidth="1"/>
    <col min="10" max="16384" width="9.21875" style="234"/>
  </cols>
  <sheetData>
    <row r="2" spans="2:9">
      <c r="B2" s="232" t="s">
        <v>375</v>
      </c>
      <c r="C2" s="233" t="s">
        <v>240</v>
      </c>
    </row>
    <row r="3" spans="2:9">
      <c r="B3" s="232"/>
    </row>
    <row r="4" spans="2:9">
      <c r="C4" s="235" t="s">
        <v>376</v>
      </c>
      <c r="D4" s="236"/>
      <c r="E4" s="235" t="s">
        <v>490</v>
      </c>
      <c r="F4" s="235"/>
      <c r="G4" s="232"/>
      <c r="H4" s="235" t="s">
        <v>377</v>
      </c>
      <c r="I4" s="237"/>
    </row>
    <row r="5" spans="2:9">
      <c r="C5" s="238">
        <v>44561</v>
      </c>
      <c r="D5" s="238"/>
      <c r="E5" s="238">
        <v>44834</v>
      </c>
      <c r="F5" s="238">
        <v>44469</v>
      </c>
      <c r="G5" s="238"/>
      <c r="H5" s="238">
        <v>44834</v>
      </c>
      <c r="I5" s="239"/>
    </row>
    <row r="6" spans="2:9">
      <c r="B6" s="234" t="s">
        <v>378</v>
      </c>
      <c r="C6" s="246">
        <v>48416</v>
      </c>
      <c r="D6" s="247"/>
      <c r="E6" s="246">
        <v>38237</v>
      </c>
      <c r="F6" s="246">
        <v>34708</v>
      </c>
      <c r="G6" s="247"/>
      <c r="H6" s="247">
        <f>E6+C6-F6</f>
        <v>51945</v>
      </c>
    </row>
    <row r="7" spans="2:9">
      <c r="B7" s="234" t="s">
        <v>39</v>
      </c>
      <c r="C7" s="246">
        <v>-47304</v>
      </c>
      <c r="D7" s="247"/>
      <c r="E7" s="246">
        <v>-44010</v>
      </c>
      <c r="F7" s="246">
        <v>-34938</v>
      </c>
      <c r="G7" s="247"/>
      <c r="H7" s="247">
        <f t="shared" ref="H7:H8" si="0">E7+C7-F7</f>
        <v>-56376</v>
      </c>
    </row>
    <row r="8" spans="2:9">
      <c r="B8" s="234" t="s">
        <v>379</v>
      </c>
      <c r="C8" s="246">
        <f>C7+867</f>
        <v>-46437</v>
      </c>
      <c r="D8" s="247"/>
      <c r="E8" s="246">
        <f>E7+1127</f>
        <v>-42883</v>
      </c>
      <c r="F8" s="246">
        <f>F7+493</f>
        <v>-34445</v>
      </c>
      <c r="G8" s="247"/>
      <c r="H8" s="247">
        <f t="shared" si="0"/>
        <v>-54875</v>
      </c>
    </row>
    <row r="10" spans="2:9">
      <c r="H10" s="235" t="s">
        <v>380</v>
      </c>
      <c r="I10" s="237"/>
    </row>
    <row r="11" spans="2:9">
      <c r="H11" s="238">
        <v>44834</v>
      </c>
      <c r="I11" s="239"/>
    </row>
    <row r="12" spans="2:9">
      <c r="B12" s="234" t="s">
        <v>381</v>
      </c>
      <c r="H12" s="246">
        <f>12340+4644+3145-157130</f>
        <v>-137001</v>
      </c>
      <c r="I12" s="240"/>
    </row>
    <row r="13" spans="2:9">
      <c r="B13" s="234" t="s">
        <v>382</v>
      </c>
      <c r="H13" s="246">
        <v>0</v>
      </c>
    </row>
    <row r="14" spans="2:9">
      <c r="B14" s="234" t="s">
        <v>383</v>
      </c>
      <c r="H14" s="246">
        <v>0</v>
      </c>
    </row>
    <row r="15" spans="2:9">
      <c r="H15" s="246"/>
    </row>
    <row r="16" spans="2:9">
      <c r="B16" s="234" t="s">
        <v>384</v>
      </c>
      <c r="H16" s="246">
        <f>112402+231+44497</f>
        <v>157130</v>
      </c>
    </row>
    <row r="17" spans="2:8">
      <c r="B17" s="234" t="s">
        <v>385</v>
      </c>
      <c r="H17" s="246">
        <v>202203</v>
      </c>
    </row>
    <row r="18" spans="2:8">
      <c r="C18" s="24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A03A-05D4-483A-BE84-C2281FE9021E}">
  <sheetPr codeName="Sheet12"/>
  <dimension ref="B2:I18"/>
  <sheetViews>
    <sheetView workbookViewId="0">
      <selection activeCell="C6" sqref="C6"/>
    </sheetView>
  </sheetViews>
  <sheetFormatPr defaultColWidth="9.21875" defaultRowHeight="14.4"/>
  <cols>
    <col min="1" max="1" width="3.21875" style="234" customWidth="1"/>
    <col min="2" max="2" width="21" style="234" customWidth="1"/>
    <col min="3" max="3" width="17.21875" style="234" customWidth="1"/>
    <col min="4" max="4" width="3.21875" style="234" customWidth="1"/>
    <col min="5" max="6" width="15.44140625" style="234" customWidth="1"/>
    <col min="7" max="7" width="3.21875" style="234" customWidth="1"/>
    <col min="8" max="8" width="17.5546875" style="234" customWidth="1"/>
    <col min="9" max="9" width="9.44140625" style="234" bestFit="1" customWidth="1"/>
    <col min="10" max="16384" width="9.21875" style="234"/>
  </cols>
  <sheetData>
    <row r="2" spans="2:9">
      <c r="B2" s="232" t="s">
        <v>375</v>
      </c>
      <c r="C2" s="233" t="s">
        <v>425</v>
      </c>
    </row>
    <row r="3" spans="2:9">
      <c r="B3" s="232"/>
    </row>
    <row r="4" spans="2:9">
      <c r="C4" s="235" t="s">
        <v>376</v>
      </c>
      <c r="D4" s="236"/>
      <c r="E4" s="235" t="s">
        <v>490</v>
      </c>
      <c r="F4" s="235"/>
      <c r="G4" s="232"/>
      <c r="H4" s="235" t="s">
        <v>377</v>
      </c>
      <c r="I4" s="237"/>
    </row>
    <row r="5" spans="2:9">
      <c r="C5" s="238">
        <v>44561</v>
      </c>
      <c r="D5" s="238"/>
      <c r="E5" s="238">
        <v>44834</v>
      </c>
      <c r="F5" s="238">
        <v>44469</v>
      </c>
      <c r="G5" s="238"/>
      <c r="H5" s="238">
        <v>44834</v>
      </c>
      <c r="I5" s="239"/>
    </row>
    <row r="6" spans="2:9">
      <c r="B6" s="234" t="s">
        <v>378</v>
      </c>
      <c r="C6" s="246">
        <v>233394</v>
      </c>
      <c r="D6" s="247"/>
      <c r="E6" s="246">
        <v>269956</v>
      </c>
      <c r="F6" s="246">
        <v>154996</v>
      </c>
      <c r="G6" s="247"/>
      <c r="H6" s="247">
        <f>E6+C6-F6</f>
        <v>348354</v>
      </c>
    </row>
    <row r="7" spans="2:9">
      <c r="B7" s="234" t="s">
        <v>39</v>
      </c>
      <c r="C7" s="246">
        <v>-39850</v>
      </c>
      <c r="D7" s="247"/>
      <c r="E7" s="246">
        <v>-47257</v>
      </c>
      <c r="F7" s="246">
        <v>-38029</v>
      </c>
      <c r="G7" s="247"/>
      <c r="H7" s="247">
        <f t="shared" ref="H7:H8" si="0">E7+C7-F7</f>
        <v>-49078</v>
      </c>
    </row>
    <row r="8" spans="2:9">
      <c r="B8" s="234" t="s">
        <v>379</v>
      </c>
      <c r="C8" s="246">
        <f>C7+1218</f>
        <v>-38632</v>
      </c>
      <c r="D8" s="247"/>
      <c r="E8" s="246">
        <f>E7+1289</f>
        <v>-45968</v>
      </c>
      <c r="F8" s="246">
        <f>F7+874</f>
        <v>-37155</v>
      </c>
      <c r="G8" s="247"/>
      <c r="H8" s="247">
        <f t="shared" si="0"/>
        <v>-47445</v>
      </c>
    </row>
    <row r="10" spans="2:9">
      <c r="H10" s="235" t="s">
        <v>380</v>
      </c>
      <c r="I10" s="237"/>
    </row>
    <row r="11" spans="2:9">
      <c r="H11" s="238">
        <v>44834</v>
      </c>
      <c r="I11" s="239"/>
    </row>
    <row r="12" spans="2:9">
      <c r="B12" s="234" t="s">
        <v>381</v>
      </c>
      <c r="H12" s="246">
        <f>7882-427549</f>
        <v>-419667</v>
      </c>
      <c r="I12" s="240"/>
    </row>
    <row r="13" spans="2:9">
      <c r="B13" s="234" t="s">
        <v>382</v>
      </c>
      <c r="H13" s="246">
        <v>0</v>
      </c>
    </row>
    <row r="14" spans="2:9">
      <c r="B14" s="234" t="s">
        <v>383</v>
      </c>
      <c r="H14" s="246">
        <v>0</v>
      </c>
    </row>
    <row r="15" spans="2:9">
      <c r="H15" s="246"/>
    </row>
    <row r="16" spans="2:9">
      <c r="B16" s="234" t="s">
        <v>384</v>
      </c>
      <c r="H16" s="246">
        <f>417808+9741</f>
        <v>427549</v>
      </c>
    </row>
    <row r="17" spans="2:8">
      <c r="B17" s="234" t="s">
        <v>385</v>
      </c>
      <c r="H17" s="246">
        <v>527523</v>
      </c>
    </row>
    <row r="18" spans="2:8">
      <c r="C18" s="24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CA3FC-EBE7-441B-BD92-416F38D0ADB5}">
  <sheetPr codeName="Sheet13"/>
  <dimension ref="B2:I18"/>
  <sheetViews>
    <sheetView workbookViewId="0">
      <selection activeCell="C6" sqref="C6"/>
    </sheetView>
  </sheetViews>
  <sheetFormatPr defaultColWidth="9.21875" defaultRowHeight="14.4"/>
  <cols>
    <col min="1" max="1" width="3.21875" style="234" customWidth="1"/>
    <col min="2" max="2" width="21" style="234" customWidth="1"/>
    <col min="3" max="3" width="17.21875" style="234" customWidth="1"/>
    <col min="4" max="4" width="3.21875" style="234" customWidth="1"/>
    <col min="5" max="6" width="15.44140625" style="234" customWidth="1"/>
    <col min="7" max="7" width="3.21875" style="234" customWidth="1"/>
    <col min="8" max="8" width="17.5546875" style="234" customWidth="1"/>
    <col min="9" max="9" width="9.44140625" style="234" bestFit="1" customWidth="1"/>
    <col min="10" max="16384" width="9.21875" style="234"/>
  </cols>
  <sheetData>
    <row r="2" spans="2:9">
      <c r="B2" s="232" t="s">
        <v>375</v>
      </c>
      <c r="C2" s="233" t="s">
        <v>426</v>
      </c>
    </row>
    <row r="3" spans="2:9">
      <c r="B3" s="232"/>
    </row>
    <row r="4" spans="2:9">
      <c r="C4" s="235" t="s">
        <v>376</v>
      </c>
      <c r="D4" s="236"/>
      <c r="E4" s="235" t="s">
        <v>490</v>
      </c>
      <c r="F4" s="235"/>
      <c r="G4" s="232"/>
      <c r="H4" s="235" t="s">
        <v>377</v>
      </c>
      <c r="I4" s="237"/>
    </row>
    <row r="5" spans="2:9">
      <c r="C5" s="238">
        <v>44561</v>
      </c>
      <c r="D5" s="238"/>
      <c r="E5" s="238">
        <v>44834</v>
      </c>
      <c r="F5" s="238">
        <v>44469</v>
      </c>
      <c r="G5" s="238"/>
      <c r="H5" s="238">
        <v>44834</v>
      </c>
      <c r="I5" s="239"/>
    </row>
    <row r="6" spans="2:9">
      <c r="B6" s="234" t="s">
        <v>378</v>
      </c>
      <c r="C6" s="246">
        <v>90152</v>
      </c>
      <c r="D6" s="247"/>
      <c r="E6" s="246">
        <v>74456</v>
      </c>
      <c r="F6" s="246">
        <v>64922</v>
      </c>
      <c r="G6" s="247"/>
      <c r="H6" s="247">
        <f>E6+C6-F6</f>
        <v>99686</v>
      </c>
    </row>
    <row r="7" spans="2:9">
      <c r="B7" s="234" t="s">
        <v>39</v>
      </c>
      <c r="C7" s="246">
        <v>-51670</v>
      </c>
      <c r="D7" s="247"/>
      <c r="E7" s="246">
        <v>-48315</v>
      </c>
      <c r="F7" s="246">
        <v>-37739</v>
      </c>
      <c r="G7" s="247"/>
      <c r="H7" s="247">
        <f t="shared" ref="H7:H8" si="0">E7+C7-F7</f>
        <v>-62246</v>
      </c>
    </row>
    <row r="8" spans="2:9">
      <c r="B8" s="234" t="s">
        <v>379</v>
      </c>
      <c r="C8" s="246">
        <f>C7+2086</f>
        <v>-49584</v>
      </c>
      <c r="D8" s="247"/>
      <c r="E8" s="246">
        <f>E7+2450</f>
        <v>-45865</v>
      </c>
      <c r="F8" s="246">
        <f>F7+1436</f>
        <v>-36303</v>
      </c>
      <c r="G8" s="247"/>
      <c r="H8" s="247">
        <f t="shared" si="0"/>
        <v>-59146</v>
      </c>
    </row>
    <row r="10" spans="2:9">
      <c r="H10" s="235" t="s">
        <v>380</v>
      </c>
      <c r="I10" s="237"/>
    </row>
    <row r="11" spans="2:9">
      <c r="H11" s="238">
        <v>44834</v>
      </c>
      <c r="I11" s="239"/>
    </row>
    <row r="12" spans="2:9">
      <c r="B12" s="234" t="s">
        <v>381</v>
      </c>
      <c r="H12" s="246">
        <f>33667+3175+1458+1337-104084</f>
        <v>-64447</v>
      </c>
      <c r="I12" s="240"/>
    </row>
    <row r="13" spans="2:9">
      <c r="B13" s="234" t="s">
        <v>382</v>
      </c>
      <c r="H13" s="246">
        <v>0</v>
      </c>
    </row>
    <row r="14" spans="2:9">
      <c r="B14" s="234" t="s">
        <v>383</v>
      </c>
      <c r="H14" s="246">
        <v>0</v>
      </c>
    </row>
    <row r="15" spans="2:9">
      <c r="H15" s="246"/>
    </row>
    <row r="16" spans="2:9">
      <c r="B16" s="234" t="s">
        <v>384</v>
      </c>
      <c r="H16" s="246">
        <f>26299+77785</f>
        <v>104084</v>
      </c>
    </row>
    <row r="17" spans="2:8">
      <c r="B17" s="234" t="s">
        <v>385</v>
      </c>
      <c r="H17" s="246">
        <v>158265</v>
      </c>
    </row>
    <row r="18" spans="2:8">
      <c r="C18" s="24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9A9B8-DCC7-45E3-ABBA-FF6B96F7159B}">
  <sheetPr codeName="Sheet14"/>
  <dimension ref="B2:I18"/>
  <sheetViews>
    <sheetView workbookViewId="0">
      <selection activeCell="C6" sqref="C6"/>
    </sheetView>
  </sheetViews>
  <sheetFormatPr defaultColWidth="9.21875" defaultRowHeight="14.4"/>
  <cols>
    <col min="1" max="1" width="3.21875" style="234" customWidth="1"/>
    <col min="2" max="2" width="21" style="234" customWidth="1"/>
    <col min="3" max="3" width="17.21875" style="234" customWidth="1"/>
    <col min="4" max="4" width="3.21875" style="234" customWidth="1"/>
    <col min="5" max="6" width="15.44140625" style="234" customWidth="1"/>
    <col min="7" max="7" width="3.21875" style="234" customWidth="1"/>
    <col min="8" max="8" width="17.5546875" style="234" customWidth="1"/>
    <col min="9" max="9" width="9.44140625" style="234" bestFit="1" customWidth="1"/>
    <col min="10" max="16384" width="9.21875" style="234"/>
  </cols>
  <sheetData>
    <row r="2" spans="2:9">
      <c r="B2" s="232" t="s">
        <v>375</v>
      </c>
      <c r="C2" s="233" t="s">
        <v>246</v>
      </c>
    </row>
    <row r="3" spans="2:9">
      <c r="B3" s="232"/>
    </row>
    <row r="4" spans="2:9">
      <c r="C4" s="235" t="s">
        <v>376</v>
      </c>
      <c r="D4" s="236"/>
      <c r="E4" s="235" t="s">
        <v>490</v>
      </c>
      <c r="F4" s="235"/>
      <c r="G4" s="232"/>
      <c r="H4" s="235" t="s">
        <v>377</v>
      </c>
      <c r="I4" s="237"/>
    </row>
    <row r="5" spans="2:9">
      <c r="C5" s="238">
        <v>44561</v>
      </c>
      <c r="D5" s="238"/>
      <c r="E5" s="238">
        <v>44834</v>
      </c>
      <c r="F5" s="238">
        <v>44469</v>
      </c>
      <c r="G5" s="238"/>
      <c r="H5" s="238">
        <v>44834</v>
      </c>
      <c r="I5" s="239"/>
    </row>
    <row r="6" spans="2:9">
      <c r="B6" s="234" t="s">
        <v>378</v>
      </c>
      <c r="C6" s="246">
        <v>276984</v>
      </c>
      <c r="D6" s="247"/>
      <c r="E6" s="246">
        <v>275700</v>
      </c>
      <c r="F6" s="246">
        <v>193766</v>
      </c>
      <c r="G6" s="247"/>
      <c r="H6" s="247">
        <f>E6+C6-F6</f>
        <v>358918</v>
      </c>
    </row>
    <row r="7" spans="2:9">
      <c r="B7" s="234" t="s">
        <v>39</v>
      </c>
      <c r="C7" s="246">
        <v>10844</v>
      </c>
      <c r="D7" s="247"/>
      <c r="E7" s="246">
        <v>-22208</v>
      </c>
      <c r="F7" s="246">
        <v>9098</v>
      </c>
      <c r="G7" s="247"/>
      <c r="H7" s="247">
        <f t="shared" ref="H7:H8" si="0">E7+C7-F7</f>
        <v>-20462</v>
      </c>
    </row>
    <row r="8" spans="2:9">
      <c r="B8" s="234" t="s">
        <v>379</v>
      </c>
      <c r="C8" s="246">
        <f>C7+3034+143+1274</f>
        <v>15295</v>
      </c>
      <c r="D8" s="247"/>
      <c r="E8" s="246">
        <f>E7+3430+108+1799</f>
        <v>-16871</v>
      </c>
      <c r="F8" s="246">
        <f>F7+2108+108+537</f>
        <v>11851</v>
      </c>
      <c r="G8" s="247"/>
      <c r="H8" s="247">
        <f t="shared" si="0"/>
        <v>-13427</v>
      </c>
    </row>
    <row r="10" spans="2:9">
      <c r="H10" s="235" t="s">
        <v>380</v>
      </c>
      <c r="I10" s="237"/>
    </row>
    <row r="11" spans="2:9">
      <c r="H11" s="238">
        <v>44834</v>
      </c>
      <c r="I11" s="239"/>
    </row>
    <row r="12" spans="2:9">
      <c r="B12" s="234" t="s">
        <v>381</v>
      </c>
      <c r="H12" s="246">
        <f>30377+588-318233</f>
        <v>-287268</v>
      </c>
      <c r="I12" s="240"/>
    </row>
    <row r="13" spans="2:9">
      <c r="B13" s="234" t="s">
        <v>382</v>
      </c>
      <c r="H13" s="246">
        <v>0</v>
      </c>
    </row>
    <row r="14" spans="2:9">
      <c r="B14" s="234" t="s">
        <v>383</v>
      </c>
      <c r="H14" s="246">
        <v>0</v>
      </c>
    </row>
    <row r="15" spans="2:9">
      <c r="H15" s="246"/>
    </row>
    <row r="16" spans="2:9">
      <c r="B16" s="234" t="s">
        <v>384</v>
      </c>
      <c r="H16" s="246">
        <f>83528+235705</f>
        <v>319233</v>
      </c>
    </row>
    <row r="17" spans="2:8">
      <c r="B17" s="234" t="s">
        <v>385</v>
      </c>
      <c r="H17" s="246">
        <v>487819</v>
      </c>
    </row>
    <row r="18" spans="2:8">
      <c r="C18" s="240"/>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4364-1D27-438F-8202-545906717C28}">
  <sheetPr codeName="Sheet15"/>
  <dimension ref="B2:I18"/>
  <sheetViews>
    <sheetView workbookViewId="0">
      <selection activeCell="E8" sqref="E8"/>
    </sheetView>
  </sheetViews>
  <sheetFormatPr defaultColWidth="9.21875" defaultRowHeight="14.4"/>
  <cols>
    <col min="1" max="1" width="3.21875" style="234" customWidth="1"/>
    <col min="2" max="2" width="21" style="234" customWidth="1"/>
    <col min="3" max="3" width="17.21875" style="234" customWidth="1"/>
    <col min="4" max="4" width="3.21875" style="234" customWidth="1"/>
    <col min="5" max="6" width="15.44140625" style="234" customWidth="1"/>
    <col min="7" max="7" width="3.21875" style="234" customWidth="1"/>
    <col min="8" max="8" width="17.5546875" style="234" customWidth="1"/>
    <col min="9" max="9" width="9.44140625" style="234" bestFit="1" customWidth="1"/>
    <col min="10" max="16384" width="9.21875" style="234"/>
  </cols>
  <sheetData>
    <row r="2" spans="2:9">
      <c r="B2" s="232" t="s">
        <v>375</v>
      </c>
      <c r="C2" s="233" t="s">
        <v>455</v>
      </c>
    </row>
    <row r="3" spans="2:9">
      <c r="B3" s="232"/>
    </row>
    <row r="4" spans="2:9">
      <c r="C4" s="235" t="s">
        <v>376</v>
      </c>
      <c r="D4" s="236"/>
      <c r="E4" s="235" t="s">
        <v>490</v>
      </c>
      <c r="F4" s="235"/>
      <c r="G4" s="232"/>
      <c r="H4" s="235" t="s">
        <v>377</v>
      </c>
      <c r="I4" s="237"/>
    </row>
    <row r="5" spans="2:9">
      <c r="C5" s="238">
        <v>44561</v>
      </c>
      <c r="D5" s="238"/>
      <c r="E5" s="238">
        <v>44834</v>
      </c>
      <c r="F5" s="238">
        <v>44469</v>
      </c>
      <c r="G5" s="238"/>
      <c r="H5" s="238">
        <v>44834</v>
      </c>
      <c r="I5" s="239"/>
    </row>
    <row r="6" spans="2:9">
      <c r="B6" s="234" t="s">
        <v>378</v>
      </c>
      <c r="C6" s="246">
        <v>126682</v>
      </c>
      <c r="D6" s="247"/>
      <c r="E6" s="246">
        <v>117887</v>
      </c>
      <c r="F6" s="246">
        <v>91369</v>
      </c>
      <c r="G6" s="247"/>
      <c r="H6" s="247">
        <f>E6+C6-F6</f>
        <v>153200</v>
      </c>
    </row>
    <row r="7" spans="2:9">
      <c r="B7" s="234" t="s">
        <v>39</v>
      </c>
      <c r="C7" s="246">
        <v>-25140</v>
      </c>
      <c r="D7" s="247"/>
      <c r="E7" s="246">
        <v>-26498</v>
      </c>
      <c r="F7" s="246">
        <v>-15774</v>
      </c>
      <c r="G7" s="247"/>
      <c r="H7" s="247">
        <f t="shared" ref="H7:H8" si="0">E7+C7-F7</f>
        <v>-35864</v>
      </c>
    </row>
    <row r="8" spans="2:9">
      <c r="B8" s="234" t="s">
        <v>379</v>
      </c>
      <c r="C8" s="246">
        <f>C7+3718</f>
        <v>-21422</v>
      </c>
      <c r="D8" s="247"/>
      <c r="E8" s="246">
        <f>E7+2881</f>
        <v>-23617</v>
      </c>
      <c r="F8" s="246">
        <f>F7+2792</f>
        <v>-12982</v>
      </c>
      <c r="G8" s="247"/>
      <c r="H8" s="247">
        <f t="shared" si="0"/>
        <v>-32057</v>
      </c>
    </row>
    <row r="10" spans="2:9">
      <c r="H10" s="235" t="s">
        <v>380</v>
      </c>
      <c r="I10" s="237"/>
    </row>
    <row r="11" spans="2:9">
      <c r="H11" s="238">
        <v>44834</v>
      </c>
      <c r="I11" s="239"/>
    </row>
    <row r="12" spans="2:9">
      <c r="B12" s="234" t="s">
        <v>381</v>
      </c>
      <c r="H12" s="246">
        <f>3323-65349</f>
        <v>-62026</v>
      </c>
      <c r="I12" s="240"/>
    </row>
    <row r="13" spans="2:9">
      <c r="B13" s="234" t="s">
        <v>382</v>
      </c>
      <c r="H13" s="246">
        <v>0</v>
      </c>
    </row>
    <row r="14" spans="2:9">
      <c r="B14" s="234" t="s">
        <v>383</v>
      </c>
      <c r="H14" s="246">
        <v>0</v>
      </c>
    </row>
    <row r="15" spans="2:9">
      <c r="H15" s="246"/>
    </row>
    <row r="16" spans="2:9">
      <c r="B16" s="234" t="s">
        <v>384</v>
      </c>
      <c r="H16" s="246">
        <v>65349</v>
      </c>
    </row>
    <row r="17" spans="2:8">
      <c r="B17" s="234" t="s">
        <v>385</v>
      </c>
      <c r="H17" s="246">
        <v>187653</v>
      </c>
    </row>
    <row r="18" spans="2:8">
      <c r="C18" s="24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91A2-E9E6-4C83-8E8D-A0950B9A5EEE}">
  <sheetPr codeName="Sheet16"/>
  <dimension ref="B2:I18"/>
  <sheetViews>
    <sheetView workbookViewId="0">
      <selection activeCell="C6" sqref="C6"/>
    </sheetView>
  </sheetViews>
  <sheetFormatPr defaultColWidth="9.21875" defaultRowHeight="14.4"/>
  <cols>
    <col min="1" max="1" width="3.21875" style="234" customWidth="1"/>
    <col min="2" max="2" width="21" style="234" customWidth="1"/>
    <col min="3" max="3" width="17.21875" style="234" customWidth="1"/>
    <col min="4" max="4" width="3.21875" style="234" customWidth="1"/>
    <col min="5" max="6" width="15.44140625" style="234" customWidth="1"/>
    <col min="7" max="7" width="3.21875" style="234" customWidth="1"/>
    <col min="8" max="8" width="17.5546875" style="234" customWidth="1"/>
    <col min="9" max="9" width="9.44140625" style="234" bestFit="1" customWidth="1"/>
    <col min="10" max="16384" width="9.21875" style="234"/>
  </cols>
  <sheetData>
    <row r="2" spans="2:9">
      <c r="B2" s="232" t="s">
        <v>375</v>
      </c>
      <c r="C2" s="233" t="s">
        <v>238</v>
      </c>
    </row>
    <row r="3" spans="2:9">
      <c r="B3" s="232"/>
    </row>
    <row r="4" spans="2:9">
      <c r="C4" s="235" t="s">
        <v>376</v>
      </c>
      <c r="D4" s="236"/>
      <c r="E4" s="235" t="s">
        <v>490</v>
      </c>
      <c r="F4" s="235"/>
      <c r="G4" s="232"/>
      <c r="H4" s="235" t="s">
        <v>377</v>
      </c>
      <c r="I4" s="237"/>
    </row>
    <row r="5" spans="2:9">
      <c r="C5" s="238">
        <v>44561</v>
      </c>
      <c r="D5" s="238"/>
      <c r="E5" s="238">
        <v>44834</v>
      </c>
      <c r="F5" s="238">
        <v>44469</v>
      </c>
      <c r="G5" s="238"/>
      <c r="H5" s="238">
        <v>44834</v>
      </c>
      <c r="I5" s="239"/>
    </row>
    <row r="6" spans="2:9">
      <c r="B6" s="234" t="s">
        <v>378</v>
      </c>
      <c r="C6" s="246">
        <v>154424</v>
      </c>
      <c r="D6" s="247"/>
      <c r="E6" s="246">
        <v>120697</v>
      </c>
      <c r="F6" s="246">
        <v>114921</v>
      </c>
      <c r="G6" s="247"/>
      <c r="H6" s="247">
        <f>E6+C6-F6</f>
        <v>160200</v>
      </c>
    </row>
    <row r="7" spans="2:9">
      <c r="B7" s="234" t="s">
        <v>39</v>
      </c>
      <c r="C7" s="246">
        <v>36425</v>
      </c>
      <c r="D7" s="247"/>
      <c r="E7" s="246">
        <v>19862</v>
      </c>
      <c r="F7" s="246">
        <v>28124</v>
      </c>
      <c r="G7" s="247"/>
      <c r="H7" s="247">
        <f t="shared" ref="H7:H8" si="0">E7+C7-F7</f>
        <v>28163</v>
      </c>
    </row>
    <row r="8" spans="2:9">
      <c r="B8" s="234" t="s">
        <v>379</v>
      </c>
      <c r="C8" s="246">
        <f>C7+11070</f>
        <v>47495</v>
      </c>
      <c r="D8" s="247"/>
      <c r="E8" s="246">
        <f>E7+7145</f>
        <v>27007</v>
      </c>
      <c r="F8" s="246">
        <f>F7+8186</f>
        <v>36310</v>
      </c>
      <c r="G8" s="247"/>
      <c r="H8" s="247">
        <f t="shared" si="0"/>
        <v>38192</v>
      </c>
    </row>
    <row r="10" spans="2:9">
      <c r="H10" s="235" t="s">
        <v>380</v>
      </c>
      <c r="I10" s="237"/>
    </row>
    <row r="11" spans="2:9">
      <c r="H11" s="238">
        <v>44834</v>
      </c>
      <c r="I11" s="239"/>
    </row>
    <row r="12" spans="2:9">
      <c r="B12" s="234" t="s">
        <v>381</v>
      </c>
      <c r="H12" s="246">
        <f>14897+1828-79739</f>
        <v>-63014</v>
      </c>
      <c r="I12" s="240"/>
    </row>
    <row r="13" spans="2:9">
      <c r="B13" s="234" t="s">
        <v>382</v>
      </c>
      <c r="H13" s="246">
        <v>0</v>
      </c>
    </row>
    <row r="14" spans="2:9">
      <c r="B14" s="234" t="s">
        <v>383</v>
      </c>
      <c r="H14" s="246">
        <v>0</v>
      </c>
    </row>
    <row r="15" spans="2:9">
      <c r="H15" s="246"/>
    </row>
    <row r="16" spans="2:9">
      <c r="B16" s="234" t="s">
        <v>384</v>
      </c>
      <c r="H16" s="246">
        <f>16913+62826</f>
        <v>79739</v>
      </c>
    </row>
    <row r="17" spans="2:8">
      <c r="B17" s="234" t="s">
        <v>385</v>
      </c>
      <c r="H17" s="246">
        <v>302048</v>
      </c>
    </row>
    <row r="18" spans="2:8">
      <c r="C18" s="24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7CD8D-47A1-4200-919E-50C2BCD852B0}">
  <sheetPr codeName="Sheet8"/>
  <dimension ref="A1:V27"/>
  <sheetViews>
    <sheetView zoomScaleNormal="100" workbookViewId="0">
      <pane xSplit="2" ySplit="2" topLeftCell="C3" activePane="bottomRight" state="frozen"/>
      <selection activeCell="B6" sqref="B6:C10"/>
      <selection pane="topRight" activeCell="B6" sqref="B6:C10"/>
      <selection pane="bottomLeft" activeCell="B6" sqref="B6:C10"/>
      <selection pane="bottomRight" activeCell="G3" sqref="G3"/>
    </sheetView>
  </sheetViews>
  <sheetFormatPr defaultColWidth="8.77734375" defaultRowHeight="13.2"/>
  <cols>
    <col min="1" max="1" width="3.88671875" customWidth="1"/>
    <col min="2" max="2" width="23.5546875" style="182" bestFit="1" customWidth="1"/>
    <col min="3" max="3" width="23.5546875" style="182" customWidth="1"/>
    <col min="4" max="4" width="41.5546875" style="182" bestFit="1" customWidth="1"/>
    <col min="5" max="5" width="52.88671875" style="191" customWidth="1"/>
    <col min="6" max="6" width="9.6640625" style="182" bestFit="1" customWidth="1"/>
    <col min="7" max="7" width="11.21875" style="182" bestFit="1" customWidth="1"/>
    <col min="8" max="8" width="15.109375" style="182" bestFit="1" customWidth="1"/>
    <col min="9" max="9" width="10.77734375" style="182" bestFit="1" customWidth="1"/>
    <col min="10" max="18" width="8.77734375" style="182"/>
    <col min="19" max="19" width="19.88671875" style="182" customWidth="1"/>
    <col min="20" max="16384" width="8.77734375" style="182"/>
  </cols>
  <sheetData>
    <row r="1" spans="2:22">
      <c r="H1" s="192" t="s">
        <v>328</v>
      </c>
      <c r="I1" s="192"/>
      <c r="J1" s="182" t="s">
        <v>329</v>
      </c>
    </row>
    <row r="2" spans="2:22">
      <c r="B2" s="182" t="s">
        <v>330</v>
      </c>
      <c r="C2" s="182" t="s">
        <v>233</v>
      </c>
      <c r="D2" s="182" t="s">
        <v>319</v>
      </c>
      <c r="E2" s="191" t="s">
        <v>331</v>
      </c>
      <c r="F2" s="182" t="s">
        <v>332</v>
      </c>
      <c r="G2" s="182" t="s">
        <v>333</v>
      </c>
      <c r="H2" s="182" t="s">
        <v>464</v>
      </c>
      <c r="I2" s="182" t="s">
        <v>465</v>
      </c>
      <c r="J2" s="182" t="s">
        <v>465</v>
      </c>
      <c r="K2" s="182" t="s">
        <v>474</v>
      </c>
      <c r="L2" s="182" t="s">
        <v>475</v>
      </c>
      <c r="M2" s="182" t="s">
        <v>476</v>
      </c>
      <c r="N2" s="182" t="s">
        <v>477</v>
      </c>
      <c r="O2" s="182" t="s">
        <v>478</v>
      </c>
      <c r="P2" s="182" t="s">
        <v>479</v>
      </c>
      <c r="Q2" s="182" t="s">
        <v>480</v>
      </c>
      <c r="R2" s="182" t="s">
        <v>485</v>
      </c>
      <c r="S2" s="182" t="s">
        <v>482</v>
      </c>
      <c r="T2" s="182" t="s">
        <v>483</v>
      </c>
      <c r="U2" s="182" t="s">
        <v>484</v>
      </c>
      <c r="V2" s="182" t="s">
        <v>481</v>
      </c>
    </row>
    <row r="3" spans="2:22" ht="15" customHeight="1">
      <c r="B3" s="241" t="s">
        <v>399</v>
      </c>
      <c r="C3" s="241" t="s">
        <v>417</v>
      </c>
      <c r="D3" s="188" t="s">
        <v>429</v>
      </c>
      <c r="E3" s="242" t="s">
        <v>430</v>
      </c>
      <c r="F3" s="182" t="s">
        <v>337</v>
      </c>
      <c r="G3" s="258" t="s">
        <v>336</v>
      </c>
      <c r="H3" s="182" t="str">
        <f>IF(IFERROR(SEARCH("Proxy",D3),0)&gt;0,"Y","N")</f>
        <v>N</v>
      </c>
      <c r="I3" s="182" t="s">
        <v>336</v>
      </c>
      <c r="J3" s="182" t="s">
        <v>336</v>
      </c>
      <c r="K3" s="243">
        <v>0.67900000000000005</v>
      </c>
      <c r="L3" s="243">
        <v>0.29499999999999998</v>
      </c>
      <c r="M3" s="243">
        <v>0.20799999999999999</v>
      </c>
      <c r="N3" s="243">
        <v>0.16750000000000001</v>
      </c>
      <c r="O3" s="243">
        <v>-1.67E-2</v>
      </c>
      <c r="P3" s="243">
        <v>0.30520000000000003</v>
      </c>
      <c r="Q3" s="243">
        <v>0.32319999999999999</v>
      </c>
      <c r="R3" s="243">
        <v>8.6514322497586102E-2</v>
      </c>
      <c r="S3" s="243">
        <v>2.1000000000000001E-2</v>
      </c>
      <c r="T3" s="243">
        <v>7.4999999999999997E-3</v>
      </c>
      <c r="U3" s="243">
        <v>4.0000000000000001E-3</v>
      </c>
      <c r="V3" s="244">
        <v>31070</v>
      </c>
    </row>
    <row r="4" spans="2:22" ht="15" customHeight="1">
      <c r="B4" s="241" t="s">
        <v>400</v>
      </c>
      <c r="C4" s="241" t="s">
        <v>418</v>
      </c>
      <c r="D4" s="188" t="s">
        <v>325</v>
      </c>
      <c r="E4" s="242" t="s">
        <v>431</v>
      </c>
      <c r="F4" s="182" t="s">
        <v>337</v>
      </c>
      <c r="G4" s="258" t="s">
        <v>336</v>
      </c>
      <c r="H4" s="182" t="str">
        <f t="shared" ref="H4:H24" si="0">IF(IFERROR(SEARCH("Proxy",D4),0)&gt;0,"Y","N")</f>
        <v>N</v>
      </c>
      <c r="I4" s="182" t="s">
        <v>336</v>
      </c>
      <c r="J4" s="182" t="s">
        <v>336</v>
      </c>
      <c r="K4" s="243">
        <v>0.53900000000000003</v>
      </c>
      <c r="L4" s="243">
        <v>0.23300000000000001</v>
      </c>
      <c r="M4" s="243">
        <v>0.14799999999999999</v>
      </c>
      <c r="N4" s="243">
        <v>7.9399999999999998E-2</v>
      </c>
      <c r="O4" s="243">
        <v>0.1605</v>
      </c>
      <c r="P4" s="243">
        <v>0.52869999999999995</v>
      </c>
      <c r="Q4" s="243">
        <v>0.31259999999999999</v>
      </c>
      <c r="R4" s="243">
        <v>4.081387837962535E-2</v>
      </c>
      <c r="S4" s="243">
        <v>7.5999999999999998E-2</v>
      </c>
      <c r="T4" s="243">
        <v>3.9699999999999999E-2</v>
      </c>
      <c r="U4" s="243">
        <v>3.1E-2</v>
      </c>
      <c r="V4" s="244">
        <v>1083.7</v>
      </c>
    </row>
    <row r="5" spans="2:22" ht="15" customHeight="1">
      <c r="B5" s="241" t="s">
        <v>401</v>
      </c>
      <c r="C5" s="241" t="s">
        <v>419</v>
      </c>
      <c r="D5" s="188" t="s">
        <v>338</v>
      </c>
      <c r="E5" s="242" t="s">
        <v>432</v>
      </c>
      <c r="F5" s="182" t="s">
        <v>337</v>
      </c>
      <c r="G5" s="258" t="s">
        <v>336</v>
      </c>
      <c r="H5" s="182" t="str">
        <f t="shared" si="0"/>
        <v>N</v>
      </c>
      <c r="I5" s="182" t="s">
        <v>336</v>
      </c>
      <c r="J5" s="182" t="s">
        <v>336</v>
      </c>
      <c r="K5" s="243">
        <v>0.47299999999999998</v>
      </c>
      <c r="L5" s="243">
        <v>0.27200000000000002</v>
      </c>
      <c r="M5" s="243">
        <v>0.159</v>
      </c>
      <c r="N5" s="243">
        <v>8.7499999999999994E-2</v>
      </c>
      <c r="O5" s="243">
        <v>5.2900000000000003E-2</v>
      </c>
      <c r="P5" s="243">
        <v>0.39100000000000001</v>
      </c>
      <c r="Q5" s="243">
        <v>0.2452</v>
      </c>
      <c r="R5" s="243">
        <v>6.8941469489414695E-2</v>
      </c>
      <c r="S5" s="243">
        <v>-2.2000000000000002E-2</v>
      </c>
      <c r="T5" s="243">
        <v>0.1055</v>
      </c>
      <c r="U5" s="243">
        <v>5.5E-2</v>
      </c>
      <c r="V5" s="244">
        <v>20075</v>
      </c>
    </row>
    <row r="6" spans="2:22" ht="15" customHeight="1">
      <c r="B6" s="241" t="s">
        <v>402</v>
      </c>
      <c r="C6" s="241" t="s">
        <v>420</v>
      </c>
      <c r="D6" s="188" t="s">
        <v>429</v>
      </c>
      <c r="E6" s="242" t="s">
        <v>433</v>
      </c>
      <c r="F6" s="182" t="s">
        <v>337</v>
      </c>
      <c r="G6" s="258" t="s">
        <v>336</v>
      </c>
      <c r="H6" s="182" t="str">
        <f t="shared" si="0"/>
        <v>N</v>
      </c>
      <c r="I6" s="182" t="s">
        <v>336</v>
      </c>
      <c r="J6" s="182" t="s">
        <v>336</v>
      </c>
      <c r="K6" s="243">
        <v>0.58199999999999996</v>
      </c>
      <c r="L6" s="243">
        <v>0.30399999999999999</v>
      </c>
      <c r="M6" s="243">
        <v>0.23</v>
      </c>
      <c r="N6" s="243">
        <v>0.17519999999999999</v>
      </c>
      <c r="O6" s="243">
        <v>6.4299999999999996E-2</v>
      </c>
      <c r="P6" s="243">
        <v>0.316</v>
      </c>
      <c r="Q6" s="243">
        <v>0.24199999999999999</v>
      </c>
      <c r="R6" s="243">
        <v>6.4823451032644905E-2</v>
      </c>
      <c r="S6" s="243">
        <v>-0.04</v>
      </c>
      <c r="T6" s="243">
        <v>0.1237</v>
      </c>
      <c r="U6" s="243">
        <v>0.128</v>
      </c>
      <c r="V6" s="244">
        <v>45030</v>
      </c>
    </row>
    <row r="7" spans="2:22" ht="15" customHeight="1">
      <c r="B7" s="241" t="s">
        <v>403</v>
      </c>
      <c r="C7" s="241" t="s">
        <v>421</v>
      </c>
      <c r="D7" s="188" t="s">
        <v>429</v>
      </c>
      <c r="E7" s="242" t="s">
        <v>434</v>
      </c>
      <c r="F7" s="182" t="s">
        <v>337</v>
      </c>
      <c r="G7" s="258" t="s">
        <v>336</v>
      </c>
      <c r="H7" s="182" t="str">
        <f t="shared" si="0"/>
        <v>N</v>
      </c>
      <c r="I7" s="182" t="s">
        <v>336</v>
      </c>
      <c r="J7" s="182" t="s">
        <v>336</v>
      </c>
      <c r="K7" s="243">
        <v>0.38500000000000001</v>
      </c>
      <c r="L7" s="243">
        <v>0.20100000000000001</v>
      </c>
      <c r="M7" s="243">
        <v>0.111</v>
      </c>
      <c r="N7" s="243">
        <v>-0.16120000000000001</v>
      </c>
      <c r="O7" s="243">
        <v>0.18379999999999999</v>
      </c>
      <c r="P7" s="243">
        <v>0.75170000000000003</v>
      </c>
      <c r="Q7" s="243">
        <v>0.23430000000000001</v>
      </c>
      <c r="R7" s="243">
        <v>3.921302578018996E-2</v>
      </c>
      <c r="S7" s="243">
        <v>0.09</v>
      </c>
      <c r="T7" s="243">
        <v>7.1599999999999997E-2</v>
      </c>
      <c r="U7" s="243">
        <v>9.7000000000000003E-2</v>
      </c>
      <c r="V7" s="244">
        <v>14740</v>
      </c>
    </row>
    <row r="8" spans="2:22" ht="15" customHeight="1">
      <c r="B8" s="241" t="s">
        <v>404</v>
      </c>
      <c r="C8" s="241" t="s">
        <v>422</v>
      </c>
      <c r="D8" s="188" t="s">
        <v>429</v>
      </c>
      <c r="E8" s="242" t="s">
        <v>435</v>
      </c>
      <c r="F8" s="182" t="s">
        <v>337</v>
      </c>
      <c r="G8" s="258" t="s">
        <v>336</v>
      </c>
      <c r="H8" s="182" t="str">
        <f t="shared" si="0"/>
        <v>N</v>
      </c>
      <c r="I8" s="182" t="s">
        <v>336</v>
      </c>
      <c r="J8" s="182" t="s">
        <v>336</v>
      </c>
      <c r="K8" s="243">
        <v>0.69399999999999995</v>
      </c>
      <c r="L8" s="243">
        <v>0.26300000000000001</v>
      </c>
      <c r="M8" s="243">
        <v>0.17299999999999999</v>
      </c>
      <c r="N8" s="243">
        <v>5.1999999999999998E-2</v>
      </c>
      <c r="O8" s="243">
        <v>9.5600000000000004E-2</v>
      </c>
      <c r="P8" s="243">
        <v>0.3362</v>
      </c>
      <c r="Q8" s="243">
        <v>0.35310000000000002</v>
      </c>
      <c r="R8" s="243">
        <v>0.10447998726824222</v>
      </c>
      <c r="S8" s="243">
        <v>6.4000000000000001E-2</v>
      </c>
      <c r="T8" s="243">
        <v>7.3099999999999998E-2</v>
      </c>
      <c r="U8" s="243">
        <v>6.5000000000000002E-2</v>
      </c>
      <c r="V8" s="244">
        <v>12567</v>
      </c>
    </row>
    <row r="9" spans="2:22" ht="15" customHeight="1">
      <c r="B9" s="241" t="s">
        <v>405</v>
      </c>
      <c r="C9" s="241" t="s">
        <v>423</v>
      </c>
      <c r="D9" s="188" t="s">
        <v>325</v>
      </c>
      <c r="E9" s="242" t="s">
        <v>436</v>
      </c>
      <c r="F9" s="182" t="s">
        <v>334</v>
      </c>
      <c r="G9" s="258" t="s">
        <v>336</v>
      </c>
      <c r="H9" s="182" t="str">
        <f t="shared" si="0"/>
        <v>N</v>
      </c>
      <c r="I9" s="182" t="s">
        <v>336</v>
      </c>
      <c r="J9" s="182" t="s">
        <v>336</v>
      </c>
      <c r="K9" s="243">
        <v>0.45200000000000001</v>
      </c>
      <c r="L9" s="243">
        <v>0.17799999999999999</v>
      </c>
      <c r="M9" s="243">
        <v>0.106</v>
      </c>
      <c r="N9" s="243">
        <v>5.4300000000000001E-2</v>
      </c>
      <c r="O9" s="243">
        <v>7.7600000000000002E-2</v>
      </c>
      <c r="P9" s="243">
        <v>0.20860000000000001</v>
      </c>
      <c r="Q9" s="243">
        <v>0.27939999999999998</v>
      </c>
      <c r="R9" s="243">
        <v>6.6437813572748888E-2</v>
      </c>
      <c r="S9" s="243">
        <v>5.5999999999999994E-2</v>
      </c>
      <c r="T9" s="243">
        <v>0.10340000000000001</v>
      </c>
      <c r="U9" s="243">
        <v>5.3999999999999999E-2</v>
      </c>
      <c r="V9" s="244">
        <v>1136.0999999999999</v>
      </c>
    </row>
    <row r="10" spans="2:22" ht="15" customHeight="1">
      <c r="B10" s="241" t="s">
        <v>406</v>
      </c>
      <c r="C10" s="241" t="s">
        <v>424</v>
      </c>
      <c r="D10" s="188" t="s">
        <v>429</v>
      </c>
      <c r="E10" s="242" t="s">
        <v>437</v>
      </c>
      <c r="F10" s="182" t="s">
        <v>337</v>
      </c>
      <c r="G10" s="258" t="s">
        <v>336</v>
      </c>
      <c r="H10" s="182" t="str">
        <f t="shared" si="0"/>
        <v>N</v>
      </c>
      <c r="I10" s="182" t="s">
        <v>336</v>
      </c>
      <c r="J10" s="182" t="s">
        <v>336</v>
      </c>
      <c r="K10" s="243">
        <v>0.78900000000000003</v>
      </c>
      <c r="L10" s="243">
        <v>0.34399999999999997</v>
      </c>
      <c r="M10" s="243">
        <v>0.318</v>
      </c>
      <c r="N10" s="243">
        <v>0.27200000000000002</v>
      </c>
      <c r="O10" s="243">
        <v>5.2900000000000003E-2</v>
      </c>
      <c r="P10" s="243">
        <v>9.9500000000000005E-2</v>
      </c>
      <c r="Q10" s="243">
        <v>0.29470000000000002</v>
      </c>
      <c r="R10" s="243">
        <v>0.17633021365449866</v>
      </c>
      <c r="S10" s="243">
        <v>4.5999999999999999E-2</v>
      </c>
      <c r="T10" s="243">
        <v>0.1011</v>
      </c>
      <c r="U10" s="243">
        <v>8.8999999999999996E-2</v>
      </c>
      <c r="V10" s="244">
        <v>5363.8</v>
      </c>
    </row>
    <row r="11" spans="2:22" ht="15" customHeight="1">
      <c r="B11" s="241" t="s">
        <v>407</v>
      </c>
      <c r="C11" s="241" t="s">
        <v>240</v>
      </c>
      <c r="D11" s="182" t="s">
        <v>448</v>
      </c>
      <c r="E11" s="242" t="s">
        <v>438</v>
      </c>
      <c r="F11" s="182" t="s">
        <v>334</v>
      </c>
      <c r="G11" s="258" t="s">
        <v>335</v>
      </c>
      <c r="H11" s="182" t="str">
        <f t="shared" si="0"/>
        <v>Y</v>
      </c>
      <c r="I11" s="182" t="s">
        <v>336</v>
      </c>
      <c r="J11" s="182" t="s">
        <v>336</v>
      </c>
      <c r="K11" s="243">
        <v>0.749</v>
      </c>
      <c r="L11" s="243">
        <v>-1.056</v>
      </c>
      <c r="M11" s="243">
        <v>-1.085</v>
      </c>
      <c r="N11" s="243">
        <v>-1.1097999999999999</v>
      </c>
      <c r="O11" s="243">
        <v>0.1663</v>
      </c>
      <c r="P11" s="243">
        <v>0.13339999999999999</v>
      </c>
      <c r="Q11" s="243">
        <v>1.5421</v>
      </c>
      <c r="R11" s="243">
        <v>0.2928709055876686</v>
      </c>
      <c r="S11" s="243">
        <v>0.13800000000000001</v>
      </c>
      <c r="T11" s="243" t="s">
        <v>72</v>
      </c>
      <c r="U11" s="243" t="s">
        <v>72</v>
      </c>
      <c r="V11" s="244">
        <v>51.9</v>
      </c>
    </row>
    <row r="12" spans="2:22" ht="15" customHeight="1">
      <c r="B12" s="241" t="s">
        <v>466</v>
      </c>
      <c r="C12" s="241" t="s">
        <v>467</v>
      </c>
      <c r="D12" s="182" t="s">
        <v>329</v>
      </c>
      <c r="E12" s="242" t="s">
        <v>469</v>
      </c>
      <c r="F12" s="182" t="s">
        <v>334</v>
      </c>
      <c r="G12" s="258" t="s">
        <v>336</v>
      </c>
      <c r="H12" s="182" t="str">
        <f t="shared" si="0"/>
        <v>N</v>
      </c>
      <c r="I12" s="182" t="s">
        <v>336</v>
      </c>
      <c r="J12" s="182" t="s">
        <v>336</v>
      </c>
      <c r="K12" s="243">
        <v>0.22</v>
      </c>
      <c r="L12" s="243" t="s">
        <v>72</v>
      </c>
      <c r="M12" s="243" t="s">
        <v>72</v>
      </c>
      <c r="N12" s="243" t="s">
        <v>72</v>
      </c>
      <c r="O12" s="243">
        <v>0.68810000000000004</v>
      </c>
      <c r="P12" s="243">
        <v>5.45E-2</v>
      </c>
      <c r="Q12" s="243">
        <v>2.0977000000000001</v>
      </c>
      <c r="R12" s="243">
        <v>1.3327272727272728</v>
      </c>
      <c r="S12" s="243">
        <v>0.43799999999999994</v>
      </c>
      <c r="T12" s="243">
        <v>0.19689999999999999</v>
      </c>
      <c r="U12" s="243">
        <v>0.161</v>
      </c>
      <c r="V12" s="244">
        <v>5.5</v>
      </c>
    </row>
    <row r="13" spans="2:22" ht="15" customHeight="1">
      <c r="B13" s="241" t="s">
        <v>408</v>
      </c>
      <c r="C13" s="241" t="s">
        <v>425</v>
      </c>
      <c r="D13" s="182" t="s">
        <v>468</v>
      </c>
      <c r="E13" s="242" t="s">
        <v>439</v>
      </c>
      <c r="F13" s="182" t="s">
        <v>337</v>
      </c>
      <c r="G13" s="258" t="s">
        <v>335</v>
      </c>
      <c r="H13" s="182" t="str">
        <f t="shared" si="0"/>
        <v>Y</v>
      </c>
      <c r="I13" s="182" t="s">
        <v>336</v>
      </c>
      <c r="J13" s="182" t="s">
        <v>336</v>
      </c>
      <c r="K13" s="243">
        <v>0.84199999999999997</v>
      </c>
      <c r="L13" s="243">
        <v>-0.13600000000000001</v>
      </c>
      <c r="M13" s="243">
        <v>-0.14099999999999999</v>
      </c>
      <c r="N13" s="243">
        <v>-0.1447</v>
      </c>
      <c r="O13" s="243">
        <v>0.73309999999999997</v>
      </c>
      <c r="P13" s="243">
        <v>1.9E-2</v>
      </c>
      <c r="Q13" s="243">
        <v>0.81699999999999995</v>
      </c>
      <c r="R13" s="243">
        <v>0.16558553386911595</v>
      </c>
      <c r="S13" s="243">
        <v>0.48200000000000004</v>
      </c>
      <c r="T13" s="243" t="s">
        <v>72</v>
      </c>
      <c r="U13" s="243">
        <v>0.69399999999999995</v>
      </c>
      <c r="V13" s="244">
        <v>348.4</v>
      </c>
    </row>
    <row r="14" spans="2:22" ht="15" customHeight="1">
      <c r="B14" s="241" t="s">
        <v>409</v>
      </c>
      <c r="C14" s="241" t="s">
        <v>426</v>
      </c>
      <c r="D14" s="182" t="s">
        <v>449</v>
      </c>
      <c r="E14" s="242" t="s">
        <v>440</v>
      </c>
      <c r="F14" s="182" t="s">
        <v>334</v>
      </c>
      <c r="G14" s="258" t="s">
        <v>335</v>
      </c>
      <c r="H14" s="182" t="str">
        <f t="shared" si="0"/>
        <v>Y</v>
      </c>
      <c r="I14" s="182" t="s">
        <v>335</v>
      </c>
      <c r="J14" s="182" t="s">
        <v>336</v>
      </c>
      <c r="K14" s="243">
        <v>0.86</v>
      </c>
      <c r="L14" s="243">
        <v>-0.59399999999999997</v>
      </c>
      <c r="M14" s="243">
        <v>-0.624</v>
      </c>
      <c r="N14" s="243">
        <v>-0.64759999999999995</v>
      </c>
      <c r="O14" s="243">
        <v>0.1449</v>
      </c>
      <c r="P14" s="243">
        <v>0.2782</v>
      </c>
      <c r="Q14" s="243">
        <v>1.3516999999999999</v>
      </c>
      <c r="R14" s="243">
        <v>0.13239719157472415</v>
      </c>
      <c r="S14" s="243">
        <v>0.18600000000000003</v>
      </c>
      <c r="T14" s="243" t="s">
        <v>72</v>
      </c>
      <c r="U14" s="243">
        <v>0.16500000000000001</v>
      </c>
      <c r="V14" s="244">
        <v>99.7</v>
      </c>
    </row>
    <row r="15" spans="2:22" ht="15" customHeight="1">
      <c r="B15" s="241" t="s">
        <v>410</v>
      </c>
      <c r="C15" s="241" t="s">
        <v>246</v>
      </c>
      <c r="D15" s="182" t="s">
        <v>339</v>
      </c>
      <c r="E15" s="242" t="s">
        <v>441</v>
      </c>
      <c r="F15" s="182" t="s">
        <v>334</v>
      </c>
      <c r="G15" s="258" t="s">
        <v>335</v>
      </c>
      <c r="H15" s="182" t="str">
        <f t="shared" si="0"/>
        <v>Y</v>
      </c>
      <c r="I15" s="182" t="s">
        <v>335</v>
      </c>
      <c r="J15" s="182" t="s">
        <v>336</v>
      </c>
      <c r="K15" s="243">
        <v>0.89</v>
      </c>
      <c r="L15" s="243">
        <v>-0.02</v>
      </c>
      <c r="M15" s="243">
        <v>-3.3000000000000002E-2</v>
      </c>
      <c r="N15" s="243">
        <v>-6.2300000000000001E-2</v>
      </c>
      <c r="O15" s="243">
        <v>0.48080000000000001</v>
      </c>
      <c r="P15" s="243">
        <v>6.9400000000000003E-2</v>
      </c>
      <c r="Q15" s="243">
        <v>0.72019999999999995</v>
      </c>
      <c r="R15" s="243">
        <v>0.20211758149902484</v>
      </c>
      <c r="S15" s="243">
        <v>0.27500000000000002</v>
      </c>
      <c r="T15" s="243" t="s">
        <v>72</v>
      </c>
      <c r="U15" s="243" t="s">
        <v>72</v>
      </c>
      <c r="V15" s="244">
        <v>358.9</v>
      </c>
    </row>
    <row r="16" spans="2:22" ht="15" customHeight="1">
      <c r="B16" s="241" t="s">
        <v>458</v>
      </c>
      <c r="C16" s="241" t="s">
        <v>459</v>
      </c>
      <c r="D16" s="182" t="s">
        <v>452</v>
      </c>
      <c r="E16" s="242" t="s">
        <v>460</v>
      </c>
      <c r="F16" s="182" t="s">
        <v>337</v>
      </c>
      <c r="G16" s="258" t="s">
        <v>336</v>
      </c>
      <c r="H16" s="182" t="str">
        <f t="shared" si="0"/>
        <v>N</v>
      </c>
      <c r="I16" s="182" t="s">
        <v>336</v>
      </c>
      <c r="J16" s="182" t="s">
        <v>336</v>
      </c>
      <c r="K16" s="243">
        <v>0.54100000000000004</v>
      </c>
      <c r="L16" s="243">
        <v>0.13500000000000001</v>
      </c>
      <c r="M16" s="243">
        <v>0.08</v>
      </c>
      <c r="N16" s="243">
        <v>5.5300000000000002E-2</v>
      </c>
      <c r="O16" s="243">
        <v>8.1100000000000005E-2</v>
      </c>
      <c r="P16" s="243">
        <v>0.19400000000000001</v>
      </c>
      <c r="Q16" s="243">
        <v>0.43309999999999998</v>
      </c>
      <c r="R16" s="243">
        <v>1.9977384093479083E-2</v>
      </c>
      <c r="S16" s="243">
        <v>6.7000000000000004E-2</v>
      </c>
      <c r="T16" s="243" t="s">
        <v>72</v>
      </c>
      <c r="U16" s="243">
        <v>5.5E-2</v>
      </c>
      <c r="V16" s="244">
        <v>795.9</v>
      </c>
    </row>
    <row r="17" spans="2:22" ht="15" customHeight="1">
      <c r="B17" s="241" t="s">
        <v>454</v>
      </c>
      <c r="C17" s="241" t="s">
        <v>455</v>
      </c>
      <c r="D17" s="182" t="s">
        <v>452</v>
      </c>
      <c r="E17" s="242" t="s">
        <v>461</v>
      </c>
      <c r="F17" s="182" t="s">
        <v>334</v>
      </c>
      <c r="G17" s="258" t="s">
        <v>335</v>
      </c>
      <c r="H17" s="182" t="str">
        <f t="shared" si="0"/>
        <v>N</v>
      </c>
      <c r="I17" s="182" t="s">
        <v>336</v>
      </c>
      <c r="J17" s="182" t="s">
        <v>336</v>
      </c>
      <c r="K17" s="243">
        <v>0.67</v>
      </c>
      <c r="L17" s="243">
        <v>-0.20899999999999999</v>
      </c>
      <c r="M17" s="243">
        <v>-0.23400000000000001</v>
      </c>
      <c r="N17" s="243">
        <v>-0.495</v>
      </c>
      <c r="O17" s="243">
        <v>0.29470000000000002</v>
      </c>
      <c r="P17" s="243">
        <v>0.99009999999999998</v>
      </c>
      <c r="Q17" s="243">
        <v>0.77480000000000004</v>
      </c>
      <c r="R17" s="243">
        <v>0.12937336814621411</v>
      </c>
      <c r="S17" s="243">
        <v>0.27100000000000002</v>
      </c>
      <c r="T17" s="243" t="s">
        <v>72</v>
      </c>
      <c r="U17" s="243">
        <v>0.23300000000000001</v>
      </c>
      <c r="V17" s="244">
        <v>153.19999999999999</v>
      </c>
    </row>
    <row r="18" spans="2:22" ht="15" customHeight="1">
      <c r="B18" s="241" t="s">
        <v>411</v>
      </c>
      <c r="C18" s="241" t="s">
        <v>428</v>
      </c>
      <c r="D18" s="182" t="s">
        <v>329</v>
      </c>
      <c r="E18" s="242" t="s">
        <v>442</v>
      </c>
      <c r="F18" s="182" t="s">
        <v>463</v>
      </c>
      <c r="G18" s="258" t="s">
        <v>336</v>
      </c>
      <c r="H18" s="182" t="str">
        <f t="shared" si="0"/>
        <v>N</v>
      </c>
      <c r="I18" s="182" t="s">
        <v>470</v>
      </c>
      <c r="J18" s="182" t="s">
        <v>470</v>
      </c>
      <c r="K18" s="243" t="s">
        <v>72</v>
      </c>
      <c r="L18" s="243" t="s">
        <v>72</v>
      </c>
      <c r="M18" s="243" t="s">
        <v>72</v>
      </c>
      <c r="N18" s="243" t="s">
        <v>72</v>
      </c>
      <c r="O18" s="243" t="s">
        <v>72</v>
      </c>
      <c r="P18" s="243" t="s">
        <v>72</v>
      </c>
      <c r="Q18" s="243" t="s">
        <v>72</v>
      </c>
      <c r="R18" s="243"/>
      <c r="S18" s="243" t="s">
        <v>72</v>
      </c>
      <c r="T18" s="243" t="s">
        <v>72</v>
      </c>
      <c r="U18" s="243" t="s">
        <v>72</v>
      </c>
      <c r="V18" s="244" t="s">
        <v>72</v>
      </c>
    </row>
    <row r="19" spans="2:22" ht="15" customHeight="1">
      <c r="B19" s="241" t="s">
        <v>412</v>
      </c>
      <c r="C19" s="241" t="s">
        <v>238</v>
      </c>
      <c r="D19" s="182" t="s">
        <v>450</v>
      </c>
      <c r="E19" s="242" t="s">
        <v>443</v>
      </c>
      <c r="F19" s="182" t="s">
        <v>334</v>
      </c>
      <c r="G19" s="258" t="s">
        <v>335</v>
      </c>
      <c r="H19" s="182" t="str">
        <f t="shared" si="0"/>
        <v>Y</v>
      </c>
      <c r="I19" s="182" t="s">
        <v>336</v>
      </c>
      <c r="J19" s="182" t="s">
        <v>335</v>
      </c>
      <c r="K19" s="243">
        <v>0.65400000000000003</v>
      </c>
      <c r="L19" s="243">
        <v>0.25900000000000001</v>
      </c>
      <c r="M19" s="243">
        <v>0.19500000000000001</v>
      </c>
      <c r="N19" s="243">
        <v>0.13220000000000001</v>
      </c>
      <c r="O19" s="243">
        <v>5.0700000000000002E-2</v>
      </c>
      <c r="P19" s="243">
        <v>6.0199999999999997E-2</v>
      </c>
      <c r="Q19" s="243">
        <v>0.37659999999999999</v>
      </c>
      <c r="R19" s="243">
        <v>8.2397003745318359E-2</v>
      </c>
      <c r="S19" s="243">
        <v>5.9000000000000004E-2</v>
      </c>
      <c r="T19" s="243">
        <v>0.1033</v>
      </c>
      <c r="U19" s="243">
        <v>0.115</v>
      </c>
      <c r="V19" s="244">
        <v>160.19999999999999</v>
      </c>
    </row>
    <row r="20" spans="2:22" ht="15" customHeight="1">
      <c r="B20" s="241" t="s">
        <v>413</v>
      </c>
      <c r="C20" s="241" t="s">
        <v>242</v>
      </c>
      <c r="D20" s="182" t="s">
        <v>451</v>
      </c>
      <c r="E20" s="242" t="s">
        <v>444</v>
      </c>
      <c r="F20" s="182" t="s">
        <v>334</v>
      </c>
      <c r="G20" s="258" t="s">
        <v>336</v>
      </c>
      <c r="H20" s="182" t="str">
        <f t="shared" si="0"/>
        <v>N</v>
      </c>
      <c r="I20" s="182" t="s">
        <v>336</v>
      </c>
      <c r="J20" s="182" t="s">
        <v>336</v>
      </c>
      <c r="K20" s="243">
        <v>0.52100000000000002</v>
      </c>
      <c r="L20" s="243">
        <v>1.7999999999999999E-2</v>
      </c>
      <c r="M20" s="243">
        <v>-7.5999999999999998E-2</v>
      </c>
      <c r="N20" s="243">
        <v>-0.1016</v>
      </c>
      <c r="O20" s="243">
        <v>7.7299999999999994E-2</v>
      </c>
      <c r="P20" s="243">
        <v>0.11990000000000001</v>
      </c>
      <c r="Q20" s="243">
        <v>0.4365</v>
      </c>
      <c r="R20" s="243">
        <v>9.9657107231920186E-2</v>
      </c>
      <c r="S20" s="243">
        <v>8.3000000000000004E-2</v>
      </c>
      <c r="T20" s="243">
        <v>-1.5599999999999999E-2</v>
      </c>
      <c r="U20" s="243">
        <v>5.6000000000000001E-2</v>
      </c>
      <c r="V20" s="244">
        <v>320.8</v>
      </c>
    </row>
    <row r="21" spans="2:22" ht="15" customHeight="1">
      <c r="B21" s="241" t="s">
        <v>388</v>
      </c>
      <c r="C21" s="241" t="s">
        <v>456</v>
      </c>
      <c r="D21" s="182" t="s">
        <v>457</v>
      </c>
      <c r="E21" s="242" t="s">
        <v>462</v>
      </c>
      <c r="F21" s="182" t="s">
        <v>337</v>
      </c>
      <c r="G21" s="258" t="s">
        <v>336</v>
      </c>
      <c r="H21" s="182" t="str">
        <f t="shared" si="0"/>
        <v>Y</v>
      </c>
      <c r="I21" s="182" t="s">
        <v>335</v>
      </c>
      <c r="J21" s="182" t="s">
        <v>336</v>
      </c>
      <c r="K21" s="243">
        <v>0.29399999999999998</v>
      </c>
      <c r="L21" s="243">
        <v>-0.94299999999999995</v>
      </c>
      <c r="M21" s="243">
        <v>-1.0209999999999999</v>
      </c>
      <c r="N21" s="243">
        <v>-1.5683</v>
      </c>
      <c r="O21" s="243">
        <v>-0.46660000000000001</v>
      </c>
      <c r="P21" s="243">
        <v>1.1234</v>
      </c>
      <c r="Q21" s="243">
        <v>1.0221</v>
      </c>
      <c r="R21" s="243">
        <v>0.29247159090909086</v>
      </c>
      <c r="S21" s="243">
        <v>-0.161</v>
      </c>
      <c r="T21" s="243" t="s">
        <v>72</v>
      </c>
      <c r="U21" s="243">
        <v>0.14599999999999999</v>
      </c>
      <c r="V21" s="244">
        <v>70.400000000000006</v>
      </c>
    </row>
    <row r="22" spans="2:22" ht="15" customHeight="1">
      <c r="B22" s="241" t="s">
        <v>414</v>
      </c>
      <c r="C22" s="241" t="s">
        <v>428</v>
      </c>
      <c r="D22" s="182" t="s">
        <v>329</v>
      </c>
      <c r="E22" s="242" t="s">
        <v>445</v>
      </c>
      <c r="F22" s="182" t="s">
        <v>463</v>
      </c>
      <c r="G22" s="258" t="s">
        <v>336</v>
      </c>
      <c r="H22" s="182" t="str">
        <f t="shared" si="0"/>
        <v>N</v>
      </c>
      <c r="I22" s="182" t="s">
        <v>470</v>
      </c>
      <c r="J22" s="182" t="s">
        <v>470</v>
      </c>
      <c r="K22" s="243">
        <v>0.60899999999999999</v>
      </c>
      <c r="L22" s="243">
        <v>0.22800000000000001</v>
      </c>
      <c r="M22" s="243">
        <v>0.19400000000000001</v>
      </c>
      <c r="N22" s="243">
        <v>0.1026</v>
      </c>
      <c r="O22" s="243">
        <v>0.28010000000000002</v>
      </c>
      <c r="P22" s="243">
        <v>2.64E-2</v>
      </c>
      <c r="Q22" s="243">
        <v>0.33460000000000001</v>
      </c>
      <c r="R22" s="243">
        <v>8.0617184348527632E-2</v>
      </c>
      <c r="S22" s="243" t="s">
        <v>72</v>
      </c>
      <c r="T22" s="243" t="s">
        <v>72</v>
      </c>
      <c r="U22" s="243" t="s">
        <v>72</v>
      </c>
      <c r="V22" s="244">
        <v>495.8</v>
      </c>
    </row>
    <row r="23" spans="2:22" ht="15" customHeight="1">
      <c r="B23" s="241" t="s">
        <v>415</v>
      </c>
      <c r="C23" s="241" t="s">
        <v>427</v>
      </c>
      <c r="D23" s="182" t="s">
        <v>452</v>
      </c>
      <c r="E23" s="242" t="s">
        <v>446</v>
      </c>
      <c r="F23" s="182" t="s">
        <v>334</v>
      </c>
      <c r="G23" s="258" t="s">
        <v>336</v>
      </c>
      <c r="H23" s="182" t="str">
        <f t="shared" si="0"/>
        <v>N</v>
      </c>
      <c r="I23" s="182" t="s">
        <v>336</v>
      </c>
      <c r="J23" s="182" t="s">
        <v>336</v>
      </c>
      <c r="K23" s="243">
        <v>0.57899999999999996</v>
      </c>
      <c r="L23" s="243">
        <v>0.29699999999999999</v>
      </c>
      <c r="M23" s="243">
        <v>0.249</v>
      </c>
      <c r="N23" s="243">
        <v>0.12640000000000001</v>
      </c>
      <c r="O23" s="243">
        <v>0.12330000000000001</v>
      </c>
      <c r="P23" s="243">
        <v>0.08</v>
      </c>
      <c r="Q23" s="243">
        <v>0.2606</v>
      </c>
      <c r="R23" s="243">
        <v>6.9985443959243082E-2</v>
      </c>
      <c r="S23" s="243">
        <v>-2.2000000000000002E-2</v>
      </c>
      <c r="T23" s="243">
        <v>0.1164</v>
      </c>
      <c r="U23" s="243">
        <v>0.191</v>
      </c>
      <c r="V23" s="244">
        <v>343.5</v>
      </c>
    </row>
    <row r="24" spans="2:22" ht="15" customHeight="1">
      <c r="B24" s="241" t="s">
        <v>416</v>
      </c>
      <c r="C24" s="241" t="s">
        <v>244</v>
      </c>
      <c r="D24" s="182" t="s">
        <v>453</v>
      </c>
      <c r="E24" s="242" t="s">
        <v>447</v>
      </c>
      <c r="F24" s="182" t="s">
        <v>334</v>
      </c>
      <c r="G24" s="258" t="s">
        <v>336</v>
      </c>
      <c r="H24" s="182" t="str">
        <f t="shared" si="0"/>
        <v>Y</v>
      </c>
      <c r="I24" s="182" t="s">
        <v>336</v>
      </c>
      <c r="J24" s="182" t="s">
        <v>336</v>
      </c>
      <c r="K24" s="243">
        <v>0.41499999999999998</v>
      </c>
      <c r="L24" s="243">
        <v>0.28999999999999998</v>
      </c>
      <c r="M24" s="243">
        <v>0.214</v>
      </c>
      <c r="N24" s="243">
        <v>0.19239999999999999</v>
      </c>
      <c r="O24" s="243">
        <v>0.15279999999999999</v>
      </c>
      <c r="P24" s="243" t="s">
        <v>72</v>
      </c>
      <c r="Q24" s="243">
        <v>0.1696</v>
      </c>
      <c r="R24" s="243">
        <v>3.1564400221116638E-2</v>
      </c>
      <c r="S24" s="243" t="s">
        <v>72</v>
      </c>
      <c r="T24" s="243">
        <v>4.3999999999999997E-2</v>
      </c>
      <c r="U24" s="243">
        <v>5.1999999999999998E-2</v>
      </c>
      <c r="V24" s="244">
        <v>180.9</v>
      </c>
    </row>
    <row r="25" spans="2:22" ht="15" customHeight="1">
      <c r="E25" s="242"/>
      <c r="G25" s="258"/>
      <c r="K25" s="243"/>
      <c r="L25" s="243"/>
      <c r="M25" s="243"/>
      <c r="N25" s="243"/>
      <c r="O25" s="243"/>
      <c r="P25" s="243"/>
      <c r="Q25" s="243"/>
      <c r="R25" s="243"/>
      <c r="S25" s="243">
        <v>0</v>
      </c>
      <c r="T25" s="243"/>
      <c r="U25" s="243"/>
      <c r="V25" s="244"/>
    </row>
    <row r="26" spans="2:22" ht="15" customHeight="1">
      <c r="B26" s="182" t="s">
        <v>471</v>
      </c>
      <c r="C26" s="182" t="s">
        <v>472</v>
      </c>
      <c r="E26" s="242" t="s">
        <v>473</v>
      </c>
      <c r="F26" s="245" t="s">
        <v>334</v>
      </c>
      <c r="G26" s="259"/>
      <c r="K26" s="243">
        <v>0.73099999999999998</v>
      </c>
      <c r="L26" s="243">
        <v>-0.40699999999999997</v>
      </c>
      <c r="M26" s="243">
        <v>-0.42099999999999999</v>
      </c>
      <c r="N26" s="243">
        <v>-0.4501</v>
      </c>
      <c r="O26" s="243">
        <v>0.34439999999999998</v>
      </c>
      <c r="P26" s="243">
        <v>0.56520000000000004</v>
      </c>
      <c r="Q26" s="243">
        <v>0.87819999999999998</v>
      </c>
      <c r="R26" s="243">
        <v>0.27405362776025238</v>
      </c>
      <c r="S26" s="243">
        <v>0.29299999999999998</v>
      </c>
      <c r="T26" s="243" t="s">
        <v>72</v>
      </c>
      <c r="U26" s="243">
        <v>0.312</v>
      </c>
      <c r="V26" s="244">
        <v>126.8</v>
      </c>
    </row>
    <row r="27" spans="2:22">
      <c r="F27" s="185" t="s">
        <v>486</v>
      </c>
      <c r="G27" s="260">
        <f>COUNTIF(G3:G24,"Y")</f>
        <v>6</v>
      </c>
    </row>
  </sheetData>
  <conditionalFormatting sqref="H3:H24">
    <cfRule type="cellIs" dxfId="2" priority="11" operator="equal">
      <formula>"Y"</formula>
    </cfRule>
  </conditionalFormatting>
  <conditionalFormatting sqref="I3:I24">
    <cfRule type="cellIs" dxfId="1" priority="10" operator="equal">
      <formula>"Y"</formula>
    </cfRule>
  </conditionalFormatting>
  <conditionalFormatting sqref="J3:J24">
    <cfRule type="cellIs" dxfId="0" priority="9" operator="equal">
      <formula>"Y"</formula>
    </cfRule>
  </conditionalFormatting>
  <conditionalFormatting sqref="K3:K24">
    <cfRule type="colorScale" priority="8">
      <colorScale>
        <cfvo type="formula" val="$K$26-1"/>
        <cfvo type="num" val="$K$26"/>
        <cfvo type="formula" val="$K$26+1"/>
        <color rgb="FFFF0000"/>
        <color theme="9"/>
        <color rgb="FFFF0000"/>
      </colorScale>
    </cfRule>
  </conditionalFormatting>
  <conditionalFormatting sqref="L3:L24">
    <cfRule type="colorScale" priority="6">
      <colorScale>
        <cfvo type="formula" val="$L$26-1"/>
        <cfvo type="num" val="$L$26"/>
        <cfvo type="formula" val="$L$26+1"/>
        <color rgb="FFFF0000"/>
        <color theme="9"/>
        <color rgb="FFFF0000"/>
      </colorScale>
    </cfRule>
  </conditionalFormatting>
  <conditionalFormatting sqref="M3:M24">
    <cfRule type="colorScale" priority="5">
      <colorScale>
        <cfvo type="formula" val="$M$26-1"/>
        <cfvo type="num" val="$M$26"/>
        <cfvo type="formula" val="$M$26+1"/>
        <color rgb="FFFF0000"/>
        <color theme="9"/>
        <color rgb="FFFF0000"/>
      </colorScale>
    </cfRule>
  </conditionalFormatting>
  <conditionalFormatting sqref="Q3:Q24">
    <cfRule type="colorScale" priority="4">
      <colorScale>
        <cfvo type="formula" val="$Q$26-1"/>
        <cfvo type="num" val="$Q$26"/>
        <cfvo type="formula" val="$Q$26+1"/>
        <color rgb="FFFF0000"/>
        <color theme="9"/>
        <color rgb="FFFF0000"/>
      </colorScale>
    </cfRule>
  </conditionalFormatting>
  <conditionalFormatting sqref="R3:R24">
    <cfRule type="colorScale" priority="3">
      <colorScale>
        <cfvo type="formula" val="$R$26-1"/>
        <cfvo type="num" val="$R$26"/>
        <cfvo type="formula" val="$R$26+1"/>
        <color rgb="FFFF0000"/>
        <color theme="9"/>
        <color rgb="FFFF0000"/>
      </colorScale>
    </cfRule>
  </conditionalFormatting>
  <conditionalFormatting sqref="S3:S24">
    <cfRule type="colorScale" priority="2">
      <colorScale>
        <cfvo type="formula" val="$S$26-1"/>
        <cfvo type="num" val="$S$26"/>
        <cfvo type="formula" val="$S$26+1"/>
        <color rgb="FFFF0000"/>
        <color theme="9"/>
        <color rgb="FFFF0000"/>
      </colorScale>
    </cfRule>
  </conditionalFormatting>
  <conditionalFormatting sqref="U3:U24">
    <cfRule type="colorScale" priority="1">
      <colorScale>
        <cfvo type="formula" val="$U$26-1"/>
        <cfvo type="num" val="$U$26"/>
        <cfvo type="formula" val="$U$26+1"/>
        <color rgb="FFFF0000"/>
        <color theme="9"/>
        <color rgb="FFFF0000"/>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8675-7C40-48C3-AB8A-452210E09CC8}">
  <sheetPr codeName="Sheet9"/>
  <dimension ref="B2:Q36"/>
  <sheetViews>
    <sheetView showGridLines="0" topLeftCell="A2" zoomScaleNormal="100" workbookViewId="0">
      <selection activeCell="B11" sqref="B11:M16"/>
    </sheetView>
  </sheetViews>
  <sheetFormatPr defaultColWidth="9.21875" defaultRowHeight="14.4" outlineLevelCol="1"/>
  <cols>
    <col min="1" max="1" width="3.21875" style="195" customWidth="1"/>
    <col min="2" max="2" width="33.77734375" style="195" customWidth="1"/>
    <col min="3" max="3" width="11.77734375" style="195" customWidth="1"/>
    <col min="4" max="4" width="11.5546875" style="195" bestFit="1" customWidth="1"/>
    <col min="5" max="5" width="14.77734375" style="195" bestFit="1" customWidth="1"/>
    <col min="6" max="6" width="15" style="195" bestFit="1" customWidth="1"/>
    <col min="7" max="7" width="15.21875" style="195" bestFit="1" customWidth="1"/>
    <col min="8" max="9" width="11.5546875" style="195" customWidth="1"/>
    <col min="10" max="10" width="13.5546875" style="195" customWidth="1"/>
    <col min="11" max="11" width="9.21875" style="195" customWidth="1" outlineLevel="1"/>
    <col min="12" max="12" width="13.109375" style="195" customWidth="1" outlineLevel="1"/>
    <col min="13" max="13" width="12.44140625" style="195" customWidth="1" outlineLevel="1"/>
    <col min="14" max="15" width="9.21875" style="195"/>
    <col min="16" max="16" width="14" style="195" bestFit="1" customWidth="1"/>
    <col min="17" max="17" width="12.21875" style="195" bestFit="1" customWidth="1"/>
    <col min="18" max="16384" width="9.21875" style="195"/>
  </cols>
  <sheetData>
    <row r="2" spans="2:17" ht="24.6">
      <c r="B2" s="193" t="s">
        <v>340</v>
      </c>
      <c r="C2" s="193"/>
      <c r="D2" s="194"/>
      <c r="E2" s="194"/>
      <c r="F2" s="194"/>
      <c r="G2" s="194"/>
      <c r="H2" s="194"/>
      <c r="I2" s="194"/>
      <c r="J2" s="194"/>
      <c r="K2" s="194"/>
      <c r="L2" s="194"/>
    </row>
    <row r="3" spans="2:17">
      <c r="B3" s="196" t="s">
        <v>489</v>
      </c>
      <c r="C3" s="196"/>
      <c r="D3" s="194"/>
      <c r="E3" s="194"/>
      <c r="F3" s="194"/>
      <c r="G3" s="194"/>
      <c r="H3" s="194"/>
      <c r="I3" s="194"/>
      <c r="J3" s="194"/>
      <c r="K3" s="194"/>
      <c r="L3" s="194"/>
    </row>
    <row r="4" spans="2:17">
      <c r="B4" s="194" t="s">
        <v>488</v>
      </c>
      <c r="C4" s="194"/>
      <c r="D4" s="197"/>
      <c r="E4" s="197"/>
      <c r="F4" s="197"/>
      <c r="G4" s="197"/>
      <c r="H4" s="197"/>
      <c r="I4" s="197"/>
      <c r="J4" s="197"/>
      <c r="K4" s="197"/>
      <c r="L4" s="197"/>
    </row>
    <row r="5" spans="2:17">
      <c r="B5" s="194"/>
      <c r="C5" s="194"/>
      <c r="D5" s="197"/>
      <c r="E5" s="197"/>
      <c r="F5" s="197"/>
      <c r="G5" s="197"/>
      <c r="H5" s="198" t="s">
        <v>341</v>
      </c>
      <c r="I5" s="198"/>
      <c r="J5" s="198"/>
      <c r="K5" s="197"/>
      <c r="N5" s="199" t="s">
        <v>342</v>
      </c>
      <c r="O5" s="200"/>
      <c r="P5" s="200"/>
      <c r="Q5" s="200"/>
    </row>
    <row r="6" spans="2:17" ht="4.5" hidden="1" customHeight="1">
      <c r="B6" s="194"/>
      <c r="C6" s="194"/>
      <c r="D6" s="197"/>
      <c r="E6" s="197"/>
      <c r="F6" s="197"/>
      <c r="G6" s="197"/>
      <c r="H6" s="201" t="s">
        <v>343</v>
      </c>
      <c r="I6" s="201"/>
      <c r="J6" s="201"/>
      <c r="K6" s="197"/>
      <c r="L6" s="201" t="s">
        <v>343</v>
      </c>
    </row>
    <row r="7" spans="2:17">
      <c r="B7" s="194"/>
      <c r="C7" s="194"/>
      <c r="D7" s="197"/>
      <c r="E7" s="197"/>
      <c r="F7" s="197" t="s">
        <v>344</v>
      </c>
      <c r="G7" s="197" t="s">
        <v>345</v>
      </c>
      <c r="H7" s="197"/>
      <c r="I7" s="197"/>
      <c r="J7" s="197"/>
      <c r="K7" s="197" t="s">
        <v>346</v>
      </c>
      <c r="L7" s="197" t="s">
        <v>347</v>
      </c>
      <c r="M7" s="197" t="s">
        <v>348</v>
      </c>
      <c r="N7" s="197" t="s">
        <v>346</v>
      </c>
      <c r="O7" s="197" t="s">
        <v>346</v>
      </c>
      <c r="P7" s="197" t="s">
        <v>349</v>
      </c>
      <c r="Q7" s="197" t="s">
        <v>350</v>
      </c>
    </row>
    <row r="8" spans="2:17" ht="15" thickBot="1">
      <c r="B8" s="202" t="s">
        <v>232</v>
      </c>
      <c r="C8" s="202" t="s">
        <v>233</v>
      </c>
      <c r="D8" s="203" t="s">
        <v>209</v>
      </c>
      <c r="E8" s="204"/>
      <c r="F8" s="204" t="s">
        <v>351</v>
      </c>
      <c r="G8" s="204" t="s">
        <v>352</v>
      </c>
      <c r="H8" s="204" t="s">
        <v>353</v>
      </c>
      <c r="I8" s="204" t="s">
        <v>354</v>
      </c>
      <c r="J8" s="204" t="s">
        <v>355</v>
      </c>
      <c r="K8" s="204" t="s">
        <v>356</v>
      </c>
      <c r="L8" s="204" t="s">
        <v>357</v>
      </c>
      <c r="M8" s="204" t="s">
        <v>234</v>
      </c>
      <c r="N8" s="204" t="s">
        <v>358</v>
      </c>
      <c r="O8" s="204" t="s">
        <v>359</v>
      </c>
      <c r="P8" s="204" t="s">
        <v>360</v>
      </c>
      <c r="Q8" s="204" t="s">
        <v>361</v>
      </c>
    </row>
    <row r="9" spans="2:17">
      <c r="B9" s="205" t="s">
        <v>487</v>
      </c>
      <c r="C9" s="194" t="s">
        <v>472</v>
      </c>
      <c r="D9" s="206">
        <v>48.04</v>
      </c>
      <c r="E9" s="207"/>
      <c r="F9" s="248">
        <v>1806000</v>
      </c>
      <c r="G9" s="249"/>
      <c r="H9" s="209"/>
      <c r="I9" s="210" t="s">
        <v>491</v>
      </c>
      <c r="J9" s="210" t="s">
        <v>491</v>
      </c>
      <c r="K9" s="210" t="s">
        <v>491</v>
      </c>
      <c r="L9" s="210" t="s">
        <v>491</v>
      </c>
      <c r="M9" s="248">
        <v>57198</v>
      </c>
      <c r="N9" s="210" t="s">
        <v>491</v>
      </c>
      <c r="O9" s="210" t="s">
        <v>491</v>
      </c>
      <c r="P9" s="209"/>
      <c r="Q9" s="211"/>
    </row>
    <row r="10" spans="2:17">
      <c r="B10" s="194"/>
      <c r="C10" s="194"/>
      <c r="D10" s="206"/>
      <c r="E10" s="207"/>
      <c r="F10" s="248"/>
      <c r="G10" s="249"/>
      <c r="H10" s="209"/>
      <c r="I10" s="209"/>
      <c r="J10" s="209"/>
      <c r="K10" s="206"/>
      <c r="L10" s="210"/>
      <c r="M10" s="248"/>
      <c r="N10" s="209"/>
      <c r="O10" s="209"/>
      <c r="P10" s="209"/>
    </row>
    <row r="11" spans="2:17">
      <c r="B11" s="250" t="s">
        <v>407</v>
      </c>
      <c r="C11" s="250" t="s">
        <v>240</v>
      </c>
      <c r="D11" s="251">
        <v>5.47</v>
      </c>
      <c r="E11" s="252"/>
      <c r="F11" s="253">
        <v>203859</v>
      </c>
      <c r="G11" s="253"/>
      <c r="H11" s="254"/>
      <c r="I11" s="254"/>
      <c r="J11" s="254"/>
      <c r="K11" s="251"/>
      <c r="L11" s="255"/>
      <c r="M11" s="253">
        <v>163482</v>
      </c>
      <c r="N11" s="261"/>
      <c r="O11" s="261"/>
      <c r="P11" s="261"/>
      <c r="Q11" s="262"/>
    </row>
    <row r="12" spans="2:17">
      <c r="B12" s="250" t="s">
        <v>408</v>
      </c>
      <c r="C12" s="250" t="s">
        <v>425</v>
      </c>
      <c r="D12" s="251">
        <v>214.24</v>
      </c>
      <c r="E12" s="252"/>
      <c r="F12" s="253">
        <v>6190000</v>
      </c>
      <c r="G12" s="253"/>
      <c r="H12" s="254"/>
      <c r="I12" s="254"/>
      <c r="J12" s="254"/>
      <c r="K12" s="251"/>
      <c r="L12" s="255"/>
      <c r="M12" s="253">
        <v>470204</v>
      </c>
      <c r="N12" s="261"/>
      <c r="O12" s="261"/>
      <c r="P12" s="261"/>
      <c r="Q12" s="262"/>
    </row>
    <row r="13" spans="2:17">
      <c r="B13" s="250" t="s">
        <v>409</v>
      </c>
      <c r="C13" s="250" t="s">
        <v>426</v>
      </c>
      <c r="D13" s="251">
        <v>13</v>
      </c>
      <c r="E13" s="252"/>
      <c r="F13" s="253">
        <v>448452</v>
      </c>
      <c r="G13" s="253"/>
      <c r="H13" s="254"/>
      <c r="I13" s="254"/>
      <c r="J13" s="254"/>
      <c r="K13" s="251"/>
      <c r="L13" s="255"/>
      <c r="M13" s="253">
        <v>102828</v>
      </c>
      <c r="N13" s="261"/>
      <c r="O13" s="261"/>
      <c r="P13" s="261"/>
      <c r="Q13" s="262"/>
    </row>
    <row r="14" spans="2:17">
      <c r="B14" s="250" t="s">
        <v>410</v>
      </c>
      <c r="C14" s="250" t="s">
        <v>246</v>
      </c>
      <c r="D14" s="251">
        <v>75.819999999999993</v>
      </c>
      <c r="E14" s="252"/>
      <c r="F14" s="253">
        <v>4066000</v>
      </c>
      <c r="G14" s="253"/>
      <c r="H14" s="254"/>
      <c r="I14" s="254"/>
      <c r="J14" s="254"/>
      <c r="K14" s="251"/>
      <c r="L14" s="255"/>
      <c r="M14" s="253">
        <v>415099</v>
      </c>
      <c r="N14" s="261"/>
      <c r="O14" s="261"/>
      <c r="P14" s="261"/>
      <c r="Q14" s="262"/>
    </row>
    <row r="15" spans="2:17">
      <c r="B15" s="250" t="s">
        <v>454</v>
      </c>
      <c r="C15" s="250" t="s">
        <v>455</v>
      </c>
      <c r="D15" s="251">
        <v>54.83</v>
      </c>
      <c r="E15" s="252"/>
      <c r="F15" s="253">
        <v>1331000</v>
      </c>
      <c r="G15" s="253"/>
      <c r="H15" s="254"/>
      <c r="I15" s="254"/>
      <c r="J15" s="254"/>
      <c r="K15" s="251"/>
      <c r="L15" s="255"/>
      <c r="M15" s="253">
        <v>1519</v>
      </c>
      <c r="N15" s="261"/>
      <c r="O15" s="261"/>
      <c r="P15" s="261"/>
      <c r="Q15" s="262"/>
    </row>
    <row r="16" spans="2:17">
      <c r="B16" s="250" t="s">
        <v>412</v>
      </c>
      <c r="C16" s="250" t="s">
        <v>238</v>
      </c>
      <c r="D16" s="256">
        <v>45.4</v>
      </c>
      <c r="E16" s="257"/>
      <c r="F16" s="253">
        <v>997116</v>
      </c>
      <c r="G16" s="253"/>
      <c r="H16" s="254"/>
      <c r="I16" s="254"/>
      <c r="J16" s="254"/>
      <c r="K16" s="251"/>
      <c r="L16" s="255"/>
      <c r="M16" s="253">
        <v>261247</v>
      </c>
      <c r="N16" s="261"/>
      <c r="O16" s="261"/>
      <c r="P16" s="261"/>
      <c r="Q16" s="262"/>
    </row>
    <row r="17" spans="2:17">
      <c r="B17" s="194"/>
      <c r="C17" s="194"/>
      <c r="D17" s="213"/>
      <c r="E17" s="212"/>
      <c r="F17" s="208"/>
      <c r="N17" s="263"/>
      <c r="O17" s="263"/>
      <c r="P17" s="263"/>
      <c r="Q17" s="263"/>
    </row>
    <row r="18" spans="2:17">
      <c r="B18" s="194"/>
      <c r="C18" s="194"/>
      <c r="D18" s="213"/>
      <c r="E18" s="212"/>
      <c r="F18" s="208"/>
      <c r="G18" s="214" t="s">
        <v>362</v>
      </c>
      <c r="H18" s="215"/>
      <c r="I18" s="216"/>
      <c r="J18" s="216"/>
      <c r="K18" s="217"/>
      <c r="L18" s="216"/>
      <c r="M18" s="216"/>
      <c r="N18" s="216"/>
      <c r="O18" s="216"/>
      <c r="P18" s="216"/>
      <c r="Q18" s="218"/>
    </row>
    <row r="19" spans="2:17">
      <c r="B19" s="194"/>
      <c r="C19" s="194"/>
      <c r="D19" s="213"/>
      <c r="E19" s="212"/>
      <c r="F19" s="208"/>
      <c r="G19" s="214" t="s">
        <v>363</v>
      </c>
      <c r="H19" s="219"/>
      <c r="I19" s="220"/>
      <c r="J19" s="220"/>
      <c r="K19" s="221"/>
      <c r="L19" s="220"/>
      <c r="M19" s="220"/>
      <c r="N19" s="220"/>
      <c r="O19" s="220"/>
      <c r="P19" s="220"/>
      <c r="Q19" s="222"/>
    </row>
    <row r="20" spans="2:17">
      <c r="B20" s="194"/>
      <c r="C20" s="194"/>
      <c r="D20" s="213"/>
      <c r="E20" s="212"/>
      <c r="F20" s="208"/>
      <c r="G20" s="214" t="s">
        <v>364</v>
      </c>
      <c r="H20" s="219"/>
      <c r="I20" s="220"/>
      <c r="J20" s="220"/>
      <c r="K20" s="221"/>
      <c r="L20" s="220"/>
      <c r="M20" s="220"/>
      <c r="N20" s="220"/>
      <c r="O20" s="220"/>
      <c r="P20" s="220"/>
      <c r="Q20" s="222"/>
    </row>
    <row r="21" spans="2:17">
      <c r="B21" s="194"/>
      <c r="C21" s="194"/>
      <c r="D21" s="194"/>
      <c r="E21" s="194"/>
      <c r="F21" s="194"/>
      <c r="G21" s="214" t="s">
        <v>365</v>
      </c>
      <c r="H21" s="223"/>
      <c r="I21" s="224"/>
      <c r="J21" s="224"/>
      <c r="K21" s="225"/>
      <c r="L21" s="224"/>
      <c r="M21" s="224"/>
      <c r="N21" s="224"/>
      <c r="O21" s="224"/>
      <c r="P21" s="224"/>
      <c r="Q21" s="226"/>
    </row>
    <row r="24" spans="2:17" ht="42">
      <c r="B24" s="194"/>
      <c r="C24" s="194"/>
      <c r="D24" s="227" t="s">
        <v>366</v>
      </c>
      <c r="E24" s="227" t="s">
        <v>204</v>
      </c>
      <c r="F24" s="227" t="s">
        <v>18</v>
      </c>
      <c r="G24" s="227" t="s">
        <v>367</v>
      </c>
      <c r="H24" s="227" t="s">
        <v>368</v>
      </c>
      <c r="I24" s="227" t="s">
        <v>369</v>
      </c>
      <c r="J24" s="227" t="s">
        <v>370</v>
      </c>
      <c r="K24" s="227"/>
      <c r="N24" s="227" t="s">
        <v>371</v>
      </c>
      <c r="O24" s="227" t="s">
        <v>372</v>
      </c>
      <c r="P24" s="227" t="s">
        <v>373</v>
      </c>
      <c r="Q24" s="227" t="s">
        <v>374</v>
      </c>
    </row>
    <row r="25" spans="2:17">
      <c r="B25" s="205" t="s">
        <v>487</v>
      </c>
      <c r="C25" s="194"/>
      <c r="D25" s="228"/>
      <c r="E25" s="208"/>
      <c r="F25" s="208"/>
      <c r="G25" s="208"/>
      <c r="H25" s="229"/>
      <c r="I25" s="209"/>
      <c r="J25" s="209"/>
      <c r="K25" s="229"/>
      <c r="L25" s="229"/>
      <c r="M25" s="230"/>
      <c r="N25" s="230"/>
      <c r="O25" s="230"/>
      <c r="P25" s="230"/>
    </row>
    <row r="26" spans="2:17">
      <c r="B26" s="194"/>
      <c r="C26" s="194"/>
      <c r="D26" s="228"/>
      <c r="E26" s="208"/>
      <c r="F26" s="208"/>
      <c r="G26" s="208"/>
      <c r="H26" s="229"/>
      <c r="I26" s="209"/>
      <c r="J26" s="209"/>
      <c r="K26" s="229"/>
      <c r="L26" s="229"/>
      <c r="M26" s="230"/>
      <c r="N26" s="230"/>
      <c r="O26" s="230"/>
      <c r="P26" s="230"/>
    </row>
    <row r="27" spans="2:17">
      <c r="D27" s="228"/>
      <c r="E27" s="208"/>
      <c r="F27" s="208"/>
      <c r="G27" s="208"/>
      <c r="H27" s="229"/>
      <c r="I27" s="229"/>
      <c r="J27" s="230"/>
      <c r="K27" s="230"/>
      <c r="L27" s="230"/>
      <c r="M27" s="230"/>
      <c r="N27" s="230"/>
      <c r="O27" s="230"/>
      <c r="P27" s="229"/>
    </row>
    <row r="28" spans="2:17">
      <c r="D28" s="228"/>
      <c r="E28" s="208"/>
      <c r="F28" s="208"/>
      <c r="G28" s="208"/>
      <c r="H28" s="229"/>
      <c r="I28" s="229"/>
      <c r="J28" s="230"/>
      <c r="K28" s="230"/>
      <c r="L28" s="230"/>
      <c r="M28" s="230"/>
      <c r="N28" s="230"/>
      <c r="O28" s="230"/>
      <c r="P28" s="230"/>
    </row>
    <row r="29" spans="2:17">
      <c r="E29" s="208"/>
      <c r="F29" s="208"/>
      <c r="G29" s="208"/>
      <c r="H29" s="230"/>
      <c r="I29" s="230"/>
      <c r="J29" s="229"/>
      <c r="K29" s="230"/>
      <c r="L29" s="230"/>
      <c r="M29" s="230"/>
      <c r="N29" s="230"/>
      <c r="O29" s="230"/>
      <c r="P29" s="230"/>
    </row>
    <row r="30" spans="2:17">
      <c r="E30" s="208"/>
      <c r="H30" s="230"/>
      <c r="I30" s="230"/>
      <c r="J30" s="229"/>
      <c r="K30" s="230"/>
      <c r="L30" s="230"/>
      <c r="M30" s="230"/>
      <c r="N30" s="230"/>
      <c r="O30" s="230"/>
      <c r="P30" s="230"/>
    </row>
    <row r="31" spans="2:17">
      <c r="D31" s="231"/>
      <c r="E31" s="208"/>
      <c r="H31" s="230"/>
      <c r="I31" s="230"/>
      <c r="J31" s="230"/>
      <c r="K31" s="230"/>
      <c r="L31" s="230"/>
      <c r="M31" s="230"/>
      <c r="N31" s="229"/>
      <c r="O31" s="230"/>
      <c r="P31" s="230"/>
    </row>
    <row r="32" spans="2:17">
      <c r="D32" s="231"/>
      <c r="E32" s="208"/>
      <c r="H32" s="230"/>
      <c r="I32" s="230"/>
      <c r="J32" s="230"/>
      <c r="K32" s="230"/>
      <c r="L32" s="230"/>
      <c r="M32" s="230"/>
      <c r="N32" s="229"/>
      <c r="O32" s="230"/>
      <c r="P32" s="230"/>
    </row>
    <row r="33" spans="4:16">
      <c r="D33" s="231"/>
      <c r="E33" s="208"/>
      <c r="H33" s="230"/>
      <c r="I33" s="230"/>
      <c r="J33" s="230"/>
      <c r="K33" s="230"/>
      <c r="L33" s="230"/>
      <c r="M33" s="230"/>
      <c r="N33" s="230"/>
      <c r="O33" s="229"/>
      <c r="P33" s="230"/>
    </row>
    <row r="34" spans="4:16">
      <c r="D34" s="231"/>
      <c r="E34" s="208"/>
      <c r="H34" s="230"/>
      <c r="I34" s="230"/>
      <c r="J34" s="230"/>
      <c r="K34" s="230"/>
      <c r="L34" s="230"/>
      <c r="M34" s="230"/>
      <c r="N34" s="230"/>
      <c r="O34" s="229"/>
      <c r="P34" s="230"/>
    </row>
    <row r="35" spans="4:16">
      <c r="D35" s="228"/>
      <c r="E35" s="208"/>
      <c r="F35" s="208"/>
      <c r="H35" s="230"/>
      <c r="I35" s="230"/>
      <c r="J35" s="230"/>
      <c r="K35" s="230"/>
      <c r="L35" s="230"/>
      <c r="M35" s="230"/>
      <c r="N35" s="230"/>
      <c r="O35" s="230"/>
      <c r="P35" s="229"/>
    </row>
    <row r="36" spans="4:16">
      <c r="D36" s="228"/>
      <c r="E36" s="208"/>
      <c r="F36" s="208"/>
      <c r="H36" s="230"/>
      <c r="I36" s="230"/>
      <c r="J36" s="230"/>
      <c r="K36" s="230"/>
      <c r="L36" s="230"/>
      <c r="M36" s="230"/>
      <c r="N36" s="230"/>
      <c r="O36" s="230"/>
      <c r="P36" s="229"/>
    </row>
  </sheetData>
  <pageMargins left="0.7" right="0.7" top="0.75" bottom="0.75" header="0.3" footer="0.3"/>
  <pageSetup orientation="portrait" verticalDpi="9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E187"/>
  <sheetViews>
    <sheetView showGridLines="0" topLeftCell="A52" zoomScaleNormal="100" workbookViewId="0">
      <selection activeCell="I47" sqref="I47"/>
    </sheetView>
  </sheetViews>
  <sheetFormatPr defaultColWidth="9.21875" defaultRowHeight="13.8" outlineLevelRow="1"/>
  <cols>
    <col min="1" max="1" width="3.77734375" style="1" customWidth="1"/>
    <col min="2" max="2" width="48.33203125" style="1" bestFit="1" customWidth="1"/>
    <col min="3" max="3" width="9" style="1" bestFit="1" customWidth="1"/>
    <col min="4" max="4" width="8.5546875" style="1" customWidth="1"/>
    <col min="5" max="5" width="9.77734375" style="1" customWidth="1"/>
    <col min="6" max="6" width="11.44140625" style="1" bestFit="1" customWidth="1"/>
    <col min="7" max="7" width="11.109375" style="1" bestFit="1" customWidth="1"/>
    <col min="8" max="8" width="11.5546875" style="1" bestFit="1" customWidth="1"/>
    <col min="9" max="9" width="12.33203125" style="1" bestFit="1" customWidth="1"/>
    <col min="10" max="13" width="11.5546875" style="1" bestFit="1" customWidth="1"/>
    <col min="14" max="14" width="12.33203125" style="1" bestFit="1" customWidth="1"/>
    <col min="15" max="20" width="11.5546875" style="1" bestFit="1" customWidth="1"/>
    <col min="21" max="16384" width="9.21875" style="1"/>
  </cols>
  <sheetData>
    <row r="2" spans="2:20">
      <c r="B2" s="3" t="s">
        <v>42</v>
      </c>
    </row>
    <row r="3" spans="2:20">
      <c r="B3" s="38" t="s">
        <v>164</v>
      </c>
      <c r="D3" s="38"/>
      <c r="E3" s="38"/>
    </row>
    <row r="4" spans="2:20">
      <c r="B4" s="38"/>
      <c r="D4" s="38"/>
      <c r="E4" s="38"/>
    </row>
    <row r="5" spans="2:20" ht="14.4">
      <c r="B5" s="5" t="s">
        <v>41</v>
      </c>
      <c r="C5" s="4"/>
      <c r="D5" s="5"/>
      <c r="E5" s="5"/>
      <c r="F5" s="4"/>
      <c r="G5" s="4"/>
      <c r="H5" s="4"/>
      <c r="I5" s="4"/>
      <c r="J5" s="4"/>
      <c r="K5" s="4"/>
      <c r="L5" s="4"/>
      <c r="M5" s="4"/>
      <c r="N5" s="4"/>
      <c r="O5" s="4"/>
      <c r="P5" s="4"/>
      <c r="Q5" s="4"/>
      <c r="R5" s="4"/>
      <c r="S5" s="4"/>
      <c r="T5" s="4"/>
    </row>
    <row r="6" spans="2:20" outlineLevel="1">
      <c r="C6" s="38"/>
      <c r="D6" s="38"/>
      <c r="E6" s="38"/>
    </row>
    <row r="7" spans="2:20" outlineLevel="1">
      <c r="B7" s="38"/>
      <c r="C7" s="38"/>
      <c r="D7" s="38"/>
      <c r="E7" s="38"/>
      <c r="F7" s="21" t="s">
        <v>6</v>
      </c>
      <c r="G7" s="20"/>
      <c r="H7" s="20"/>
      <c r="I7" s="20"/>
      <c r="J7" s="19"/>
      <c r="K7" s="21" t="s">
        <v>5</v>
      </c>
      <c r="L7" s="20"/>
      <c r="M7" s="20"/>
      <c r="N7" s="20"/>
      <c r="O7" s="19"/>
      <c r="P7" s="19"/>
      <c r="Q7" s="19"/>
      <c r="R7" s="19"/>
      <c r="S7" s="19"/>
      <c r="T7" s="19"/>
    </row>
    <row r="8" spans="2:20" outlineLevel="1">
      <c r="B8" s="38"/>
      <c r="C8" s="38"/>
      <c r="D8" s="38"/>
      <c r="E8" s="38"/>
      <c r="F8" s="37">
        <v>2017</v>
      </c>
      <c r="G8" s="36">
        <f>F8+1</f>
        <v>2018</v>
      </c>
      <c r="H8" s="36">
        <f t="shared" ref="H8:Q8" si="0">G8+1</f>
        <v>2019</v>
      </c>
      <c r="I8" s="36">
        <f t="shared" si="0"/>
        <v>2020</v>
      </c>
      <c r="J8" s="35">
        <f t="shared" si="0"/>
        <v>2021</v>
      </c>
      <c r="K8" s="34">
        <f t="shared" si="0"/>
        <v>2022</v>
      </c>
      <c r="L8" s="34">
        <f t="shared" si="0"/>
        <v>2023</v>
      </c>
      <c r="M8" s="34">
        <f t="shared" si="0"/>
        <v>2024</v>
      </c>
      <c r="N8" s="34">
        <f t="shared" si="0"/>
        <v>2025</v>
      </c>
      <c r="O8" s="34">
        <f t="shared" si="0"/>
        <v>2026</v>
      </c>
      <c r="P8" s="34">
        <f t="shared" si="0"/>
        <v>2027</v>
      </c>
      <c r="Q8" s="34">
        <f t="shared" si="0"/>
        <v>2028</v>
      </c>
      <c r="R8" s="34">
        <f t="shared" ref="R8" si="1">Q8+1</f>
        <v>2029</v>
      </c>
      <c r="S8" s="34">
        <f t="shared" ref="S8" si="2">R8+1</f>
        <v>2030</v>
      </c>
      <c r="T8" s="34">
        <f t="shared" ref="T8" si="3">S8+1</f>
        <v>2031</v>
      </c>
    </row>
    <row r="9" spans="2:20" outlineLevel="1">
      <c r="B9" s="1" t="s">
        <v>62</v>
      </c>
      <c r="F9" s="62">
        <f>INDEX(SILK_IS!$A$10:$F$39,MATCH(SILK_DCF!$B9,SILK_IS!$A$10:$A$39,0),MATCH(SILK_DCF!F$8,SILK_IS!$A$10:$F$10,0))</f>
        <v>14258</v>
      </c>
      <c r="G9" s="62">
        <f>INDEX(SILK_IS!$A$10:$F$39,MATCH(SILK_DCF!$B9,SILK_IS!$A$10:$A$39,0),MATCH(SILK_DCF!G$8,SILK_IS!$A$10:$F$10,0))</f>
        <v>34557</v>
      </c>
      <c r="H9" s="62">
        <f>INDEX(SILK_IS!$A$10:$F$39,MATCH(SILK_DCF!$B9,SILK_IS!$A$10:$A$39,0),MATCH(SILK_DCF!H$8,SILK_IS!$A$10:$F$10,0))</f>
        <v>63354</v>
      </c>
      <c r="I9" s="62">
        <f>INDEX(SILK_IS!$A$10:$F$39,MATCH(SILK_DCF!$B9,SILK_IS!$A$10:$A$39,0),MATCH(SILK_DCF!I$8,SILK_IS!$A$10:$F$10,0))</f>
        <v>75227</v>
      </c>
      <c r="J9" s="63">
        <f>INDEX(SILK_IS!$A$10:$F$39,MATCH(SILK_DCF!$B9,SILK_IS!$A$10:$A$39,0),MATCH(SILK_DCF!J$8,SILK_IS!$A$10:$F$10,0))</f>
        <v>101475</v>
      </c>
      <c r="K9" s="64">
        <f>J9*(1+K28)</f>
        <v>131917.5</v>
      </c>
      <c r="L9" s="64">
        <f t="shared" ref="L9:T9" si="4">K9*(1+L28)</f>
        <v>171492.75</v>
      </c>
      <c r="M9" s="64">
        <f t="shared" si="4"/>
        <v>214365.9375</v>
      </c>
      <c r="N9" s="64">
        <f t="shared" si="4"/>
        <v>263670.10312500002</v>
      </c>
      <c r="O9" s="64">
        <f t="shared" si="4"/>
        <v>316404.12375000003</v>
      </c>
      <c r="P9" s="64">
        <f t="shared" si="4"/>
        <v>363864.74231250002</v>
      </c>
      <c r="Q9" s="64">
        <f t="shared" si="4"/>
        <v>400251.21654375008</v>
      </c>
      <c r="R9" s="64">
        <f t="shared" si="4"/>
        <v>440276.33819812513</v>
      </c>
      <c r="S9" s="64">
        <f t="shared" si="4"/>
        <v>475498.44525397517</v>
      </c>
      <c r="T9" s="64">
        <f t="shared" si="4"/>
        <v>513538.32087429322</v>
      </c>
    </row>
    <row r="10" spans="2:20" outlineLevel="1">
      <c r="B10" s="1" t="s">
        <v>63</v>
      </c>
      <c r="F10" s="51">
        <f>INDEX(SILK_IS!$A$10:$F$39,MATCH(SILK_DCF!$B10,SILK_IS!$A$10:$A$39,0),MATCH(SILK_DCF!F$8,SILK_IS!$A$10:$F$10,0))</f>
        <v>5129</v>
      </c>
      <c r="G10" s="51">
        <f>INDEX(SILK_IS!$A$10:$F$39,MATCH(SILK_DCF!$B10,SILK_IS!$A$10:$A$39,0),MATCH(SILK_DCF!G$8,SILK_IS!$A$10:$F$10,0))</f>
        <v>10874</v>
      </c>
      <c r="H10" s="51">
        <f>INDEX(SILK_IS!$A$10:$F$39,MATCH(SILK_DCF!$B10,SILK_IS!$A$10:$A$39,0),MATCH(SILK_DCF!H$8,SILK_IS!$A$10:$F$10,0))</f>
        <v>15927</v>
      </c>
      <c r="I10" s="51">
        <f>INDEX(SILK_IS!$A$10:$F$39,MATCH(SILK_DCF!$B10,SILK_IS!$A$10:$A$39,0),MATCH(SILK_DCF!I$8,SILK_IS!$A$10:$F$10,0))</f>
        <v>21291</v>
      </c>
      <c r="J10" s="52">
        <f>INDEX(SILK_IS!$A$10:$F$39,MATCH(SILK_DCF!$B10,SILK_IS!$A$10:$A$39,0),MATCH(SILK_DCF!J$8,SILK_IS!$A$10:$F$10,0))</f>
        <v>25446</v>
      </c>
      <c r="K10" s="53">
        <f>K9*K29</f>
        <v>32979.375</v>
      </c>
      <c r="L10" s="53">
        <f t="shared" ref="L10:T10" si="5">L9*L29</f>
        <v>42492.092499999999</v>
      </c>
      <c r="M10" s="53">
        <f t="shared" si="5"/>
        <v>52638.746875000004</v>
      </c>
      <c r="N10" s="53">
        <f t="shared" si="5"/>
        <v>64159.725093750014</v>
      </c>
      <c r="O10" s="53">
        <f t="shared" si="5"/>
        <v>76288.549837500017</v>
      </c>
      <c r="P10" s="53">
        <f t="shared" si="5"/>
        <v>86923.243996875026</v>
      </c>
      <c r="Q10" s="53">
        <f t="shared" si="5"/>
        <v>94726.121248687545</v>
      </c>
      <c r="R10" s="53">
        <f t="shared" si="5"/>
        <v>103220.34151089382</v>
      </c>
      <c r="S10" s="53">
        <f t="shared" si="5"/>
        <v>110421.30562008984</v>
      </c>
      <c r="T10" s="53">
        <f t="shared" si="5"/>
        <v>118113.8138010875</v>
      </c>
    </row>
    <row r="11" spans="2:20" outlineLevel="1">
      <c r="B11" s="3" t="s">
        <v>40</v>
      </c>
      <c r="F11" s="54">
        <f>F9-F10</f>
        <v>9129</v>
      </c>
      <c r="G11" s="54">
        <f t="shared" ref="G11:K11" si="6">G9-G10</f>
        <v>23683</v>
      </c>
      <c r="H11" s="54">
        <f t="shared" si="6"/>
        <v>47427</v>
      </c>
      <c r="I11" s="54">
        <f t="shared" si="6"/>
        <v>53936</v>
      </c>
      <c r="J11" s="55">
        <f t="shared" si="6"/>
        <v>76029</v>
      </c>
      <c r="K11" s="54">
        <f t="shared" si="6"/>
        <v>98938.125</v>
      </c>
      <c r="L11" s="54">
        <f t="shared" ref="L11" si="7">L9-L10</f>
        <v>129000.6575</v>
      </c>
      <c r="M11" s="54">
        <f t="shared" ref="M11" si="8">M9-M10</f>
        <v>161727.19062499999</v>
      </c>
      <c r="N11" s="54">
        <f t="shared" ref="N11" si="9">N9-N10</f>
        <v>199510.37803125</v>
      </c>
      <c r="O11" s="54">
        <f t="shared" ref="O11" si="10">O9-O10</f>
        <v>240115.5739125</v>
      </c>
      <c r="P11" s="54">
        <f t="shared" ref="P11" si="11">P9-P10</f>
        <v>276941.49831562501</v>
      </c>
      <c r="Q11" s="54">
        <f t="shared" ref="Q11" si="12">Q9-Q10</f>
        <v>305525.09529506252</v>
      </c>
      <c r="R11" s="54">
        <f t="shared" ref="R11" si="13">R9-R10</f>
        <v>337055.99668723129</v>
      </c>
      <c r="S11" s="54">
        <f t="shared" ref="S11" si="14">S9-S10</f>
        <v>365077.13963388535</v>
      </c>
      <c r="T11" s="54">
        <f t="shared" ref="T11" si="15">T9-T10</f>
        <v>395424.50707320572</v>
      </c>
    </row>
    <row r="12" spans="2:20" outlineLevel="1">
      <c r="B12" s="3"/>
      <c r="F12" s="51"/>
      <c r="G12" s="51"/>
      <c r="H12" s="51"/>
      <c r="I12" s="51"/>
      <c r="J12" s="52"/>
      <c r="K12" s="53"/>
      <c r="L12" s="53"/>
      <c r="M12" s="53"/>
      <c r="N12" s="53"/>
      <c r="O12" s="53"/>
      <c r="P12" s="53"/>
      <c r="Q12" s="53"/>
      <c r="R12" s="53"/>
      <c r="S12" s="53"/>
      <c r="T12" s="53"/>
    </row>
    <row r="13" spans="2:20" outlineLevel="1">
      <c r="B13" s="1" t="s">
        <v>65</v>
      </c>
      <c r="F13" s="51">
        <f>INDEX(SILK_IS!$A$10:$F$39,MATCH(SILK_DCF!$B13,SILK_IS!$A$10:$A$39,0),MATCH(SILK_DCF!F$8,SILK_IS!$A$10:$F$10,0))</f>
        <v>7242</v>
      </c>
      <c r="G13" s="51">
        <f>INDEX(SILK_IS!$A$10:$F$39,MATCH(SILK_DCF!$B13,SILK_IS!$A$10:$A$39,0),MATCH(SILK_DCF!G$8,SILK_IS!$A$10:$F$10,0))</f>
        <v>10258</v>
      </c>
      <c r="H13" s="51">
        <f>INDEX(SILK_IS!$A$10:$F$39,MATCH(SILK_DCF!$B13,SILK_IS!$A$10:$A$39,0),MATCH(SILK_DCF!H$8,SILK_IS!$A$10:$F$10,0))</f>
        <v>12272</v>
      </c>
      <c r="I13" s="51">
        <f>INDEX(SILK_IS!$A$10:$F$39,MATCH(SILK_DCF!$B13,SILK_IS!$A$10:$A$39,0),MATCH(SILK_DCF!I$8,SILK_IS!$A$10:$F$10,0))</f>
        <v>21271</v>
      </c>
      <c r="J13" s="52">
        <f>INDEX(SILK_IS!$A$10:$F$39,MATCH(SILK_DCF!$B13,SILK_IS!$A$10:$A$39,0),MATCH(SILK_DCF!J$8,SILK_IS!$A$10:$F$10,0))</f>
        <v>27110</v>
      </c>
      <c r="K13" s="53">
        <f>K9*K30</f>
        <v>19787.625</v>
      </c>
      <c r="L13" s="53">
        <f t="shared" ref="L13:T13" si="16">L9*L30</f>
        <v>23818.4375</v>
      </c>
      <c r="M13" s="53">
        <f t="shared" si="16"/>
        <v>27391.203125000004</v>
      </c>
      <c r="N13" s="53">
        <f t="shared" si="16"/>
        <v>30761.512031250008</v>
      </c>
      <c r="O13" s="53">
        <f t="shared" si="16"/>
        <v>33398.213062500006</v>
      </c>
      <c r="P13" s="53">
        <f t="shared" si="16"/>
        <v>34365.003440625005</v>
      </c>
      <c r="Q13" s="53">
        <f t="shared" si="16"/>
        <v>33354.268045312514</v>
      </c>
      <c r="R13" s="53">
        <f t="shared" si="16"/>
        <v>31797.735536531261</v>
      </c>
      <c r="S13" s="53">
        <f t="shared" si="16"/>
        <v>29058.238321076264</v>
      </c>
      <c r="T13" s="53">
        <f t="shared" si="16"/>
        <v>25676.916043714664</v>
      </c>
    </row>
    <row r="14" spans="2:20" outlineLevel="1">
      <c r="B14" s="1" t="s">
        <v>66</v>
      </c>
      <c r="F14" s="51">
        <f>INDEX(SILK_IS!$A$10:$F$39,MATCH(SILK_DCF!$B14,SILK_IS!$A$10:$A$39,0),MATCH(SILK_DCF!F$8,SILK_IS!$A$10:$F$10,0))</f>
        <v>20261</v>
      </c>
      <c r="G14" s="51">
        <f>INDEX(SILK_IS!$A$10:$F$39,MATCH(SILK_DCF!$B14,SILK_IS!$A$10:$A$39,0),MATCH(SILK_DCF!G$8,SILK_IS!$A$10:$F$10,0))</f>
        <v>34820</v>
      </c>
      <c r="H14" s="51">
        <f>INDEX(SILK_IS!$A$10:$F$39,MATCH(SILK_DCF!$B14,SILK_IS!$A$10:$A$39,0),MATCH(SILK_DCF!H$8,SILK_IS!$A$10:$F$10,0))</f>
        <v>63220</v>
      </c>
      <c r="I14" s="51">
        <f>INDEX(SILK_IS!$A$10:$F$39,MATCH(SILK_DCF!$B14,SILK_IS!$A$10:$A$39,0),MATCH(SILK_DCF!I$8,SILK_IS!$A$10:$F$10,0))</f>
        <v>75524</v>
      </c>
      <c r="J14" s="56">
        <f>INDEX(SILK_IS!$A$10:$F$39,MATCH(SILK_DCF!$B14,SILK_IS!$A$10:$A$39,0),MATCH(SILK_DCF!J$8,SILK_IS!$A$10:$F$10,0))</f>
        <v>96387</v>
      </c>
      <c r="K14" s="57">
        <f>K9*K31</f>
        <v>112129.875</v>
      </c>
      <c r="L14" s="58">
        <f t="shared" ref="L14:T14" si="17">L9*L31</f>
        <v>128619.5625</v>
      </c>
      <c r="M14" s="58">
        <f t="shared" si="17"/>
        <v>139337.859375</v>
      </c>
      <c r="N14" s="58">
        <f t="shared" si="17"/>
        <v>158202.06187500001</v>
      </c>
      <c r="O14" s="58">
        <f t="shared" si="17"/>
        <v>158202.06187500001</v>
      </c>
      <c r="P14" s="58">
        <f t="shared" si="17"/>
        <v>163739.13404062501</v>
      </c>
      <c r="Q14" s="58">
        <f t="shared" si="17"/>
        <v>160100.48661750005</v>
      </c>
      <c r="R14" s="58">
        <f t="shared" si="17"/>
        <v>167305.00851528754</v>
      </c>
      <c r="S14" s="58">
        <f t="shared" si="17"/>
        <v>171179.44029143106</v>
      </c>
      <c r="T14" s="58">
        <f t="shared" si="17"/>
        <v>179738.4123060026</v>
      </c>
    </row>
    <row r="15" spans="2:20" outlineLevel="1">
      <c r="B15" s="33" t="s">
        <v>39</v>
      </c>
      <c r="C15" s="33"/>
      <c r="D15" s="33"/>
      <c r="E15" s="33"/>
      <c r="F15" s="59">
        <f>F11-F13-F14</f>
        <v>-18374</v>
      </c>
      <c r="G15" s="59">
        <f t="shared" ref="G15:K15" si="18">G11-G13-G14</f>
        <v>-21395</v>
      </c>
      <c r="H15" s="59">
        <f t="shared" si="18"/>
        <v>-28065</v>
      </c>
      <c r="I15" s="59">
        <f t="shared" si="18"/>
        <v>-42859</v>
      </c>
      <c r="J15" s="60">
        <f t="shared" si="18"/>
        <v>-47468</v>
      </c>
      <c r="K15" s="54">
        <f t="shared" si="18"/>
        <v>-32979.375</v>
      </c>
      <c r="L15" s="54">
        <f t="shared" ref="L15" si="19">L11-L13-L14</f>
        <v>-23437.342499999999</v>
      </c>
      <c r="M15" s="54">
        <f t="shared" ref="M15" si="20">M11-M13-M14</f>
        <v>-5001.8718750000116</v>
      </c>
      <c r="N15" s="54">
        <f t="shared" ref="N15" si="21">N11-N13-N14</f>
        <v>10546.804124999966</v>
      </c>
      <c r="O15" s="54">
        <f t="shared" ref="O15" si="22">O11-O13-O14</f>
        <v>48515.298974999983</v>
      </c>
      <c r="P15" s="54">
        <f t="shared" ref="P15" si="23">P11-P13-P14</f>
        <v>78837.360834374995</v>
      </c>
      <c r="Q15" s="54">
        <f t="shared" ref="Q15" si="24">Q11-Q13-Q14</f>
        <v>112070.34063224998</v>
      </c>
      <c r="R15" s="54">
        <f t="shared" ref="R15" si="25">R11-R13-R14</f>
        <v>137953.2526354125</v>
      </c>
      <c r="S15" s="54">
        <f t="shared" ref="S15" si="26">S11-S13-S14</f>
        <v>164839.46102137803</v>
      </c>
      <c r="T15" s="54">
        <f t="shared" ref="T15" si="27">T11-T13-T14</f>
        <v>190009.17872348844</v>
      </c>
    </row>
    <row r="16" spans="2:20" outlineLevel="1">
      <c r="B16" s="1" t="s">
        <v>38</v>
      </c>
      <c r="C16" s="32"/>
      <c r="D16" s="32">
        <v>0.21</v>
      </c>
      <c r="F16" s="54">
        <f>IF(F15&lt;0,0,F15*$D$16)</f>
        <v>0</v>
      </c>
      <c r="G16" s="54">
        <f t="shared" ref="G16:K16" si="28">IF(G15&lt;0,0,G15*$D$16)</f>
        <v>0</v>
      </c>
      <c r="H16" s="54">
        <f t="shared" si="28"/>
        <v>0</v>
      </c>
      <c r="I16" s="54">
        <f t="shared" si="28"/>
        <v>0</v>
      </c>
      <c r="J16" s="55">
        <f t="shared" si="28"/>
        <v>0</v>
      </c>
      <c r="K16" s="61">
        <f t="shared" si="28"/>
        <v>0</v>
      </c>
      <c r="L16" s="61">
        <f t="shared" ref="L16" si="29">IF(L15&lt;0,0,L15*$D$16)</f>
        <v>0</v>
      </c>
      <c r="M16" s="61">
        <f t="shared" ref="M16" si="30">IF(M15&lt;0,0,M15*$D$16)</f>
        <v>0</v>
      </c>
      <c r="N16" s="61">
        <f t="shared" ref="N16" si="31">IF(N15&lt;0,0,N15*$D$16)</f>
        <v>2214.8288662499926</v>
      </c>
      <c r="O16" s="61">
        <f t="shared" ref="O16" si="32">IF(O15&lt;0,0,O15*$D$16)</f>
        <v>10188.212784749996</v>
      </c>
      <c r="P16" s="61">
        <f t="shared" ref="P16" si="33">IF(P15&lt;0,0,P15*$D$16)</f>
        <v>16555.84577521875</v>
      </c>
      <c r="Q16" s="61">
        <f t="shared" ref="Q16" si="34">IF(Q15&lt;0,0,Q15*$D$16)</f>
        <v>23534.771532772495</v>
      </c>
      <c r="R16" s="61">
        <f t="shared" ref="R16" si="35">IF(R15&lt;0,0,R15*$D$16)</f>
        <v>28970.183053436624</v>
      </c>
      <c r="S16" s="61">
        <f t="shared" ref="S16" si="36">IF(S15&lt;0,0,S15*$D$16)</f>
        <v>34616.286814489387</v>
      </c>
      <c r="T16" s="61">
        <f t="shared" ref="T16" si="37">IF(T15&lt;0,0,T15*$D$16)</f>
        <v>39901.927531932568</v>
      </c>
    </row>
    <row r="17" spans="2:31" outlineLevel="1">
      <c r="B17" s="13" t="s">
        <v>37</v>
      </c>
      <c r="C17" s="13"/>
      <c r="D17" s="13"/>
      <c r="E17" s="13"/>
      <c r="F17" s="59">
        <f>F15-F16</f>
        <v>-18374</v>
      </c>
      <c r="G17" s="59">
        <f t="shared" ref="G17:K17" si="38">G15-G16</f>
        <v>-21395</v>
      </c>
      <c r="H17" s="59">
        <f t="shared" si="38"/>
        <v>-28065</v>
      </c>
      <c r="I17" s="59">
        <f t="shared" si="38"/>
        <v>-42859</v>
      </c>
      <c r="J17" s="60">
        <f t="shared" si="38"/>
        <v>-47468</v>
      </c>
      <c r="K17" s="54">
        <f t="shared" si="38"/>
        <v>-32979.375</v>
      </c>
      <c r="L17" s="54">
        <f t="shared" ref="L17" si="39">L15-L16</f>
        <v>-23437.342499999999</v>
      </c>
      <c r="M17" s="54">
        <f t="shared" ref="M17" si="40">M15-M16</f>
        <v>-5001.8718750000116</v>
      </c>
      <c r="N17" s="54">
        <f t="shared" ref="N17" si="41">N15-N16</f>
        <v>8331.9752587499734</v>
      </c>
      <c r="O17" s="54">
        <f t="shared" ref="O17" si="42">O15-O16</f>
        <v>38327.086190249989</v>
      </c>
      <c r="P17" s="54">
        <f t="shared" ref="P17" si="43">P15-P16</f>
        <v>62281.515059156241</v>
      </c>
      <c r="Q17" s="54">
        <f t="shared" ref="Q17" si="44">Q15-Q16</f>
        <v>88535.569099477492</v>
      </c>
      <c r="R17" s="54">
        <f t="shared" ref="R17" si="45">R15-R16</f>
        <v>108983.06958197587</v>
      </c>
      <c r="S17" s="54">
        <f t="shared" ref="S17" si="46">S15-S16</f>
        <v>130223.17420688864</v>
      </c>
      <c r="T17" s="54">
        <f t="shared" ref="T17" si="47">T15-T16</f>
        <v>150107.25119155587</v>
      </c>
    </row>
    <row r="18" spans="2:31" outlineLevel="1">
      <c r="F18" s="54"/>
      <c r="G18" s="54"/>
      <c r="H18" s="54"/>
      <c r="I18" s="54"/>
      <c r="J18" s="55"/>
      <c r="K18" s="53"/>
      <c r="L18" s="53"/>
      <c r="M18" s="53"/>
      <c r="N18" s="53"/>
      <c r="O18" s="53"/>
      <c r="P18" s="53"/>
      <c r="Q18" s="53"/>
      <c r="R18" s="53"/>
      <c r="S18" s="53"/>
      <c r="T18" s="53"/>
    </row>
    <row r="19" spans="2:31" outlineLevel="1">
      <c r="B19" s="1" t="s">
        <v>36</v>
      </c>
      <c r="F19" s="51">
        <f>INDEX(SILK_IS!$A$10:$F$39,MATCH(SILK_DCF!$B19,SILK_IS!$A$10:$A$39,0),MATCH(SILK_DCF!F$8,SILK_IS!$A$10:$F$10,0))</f>
        <v>129</v>
      </c>
      <c r="G19" s="51">
        <f>INDEX(SILK_IS!$A$10:$F$39,MATCH(SILK_DCF!$B19,SILK_IS!$A$10:$A$39,0),MATCH(SILK_DCF!G$8,SILK_IS!$A$10:$F$10,0))</f>
        <v>517</v>
      </c>
      <c r="H19" s="51">
        <f>INDEX(SILK_IS!$A$10:$F$39,MATCH(SILK_DCF!$B19,SILK_IS!$A$10:$A$39,0),MATCH(SILK_DCF!H$8,SILK_IS!$A$10:$F$10,0))</f>
        <v>712</v>
      </c>
      <c r="I19" s="51">
        <f>INDEX(SILK_IS!$A$10:$F$39,MATCH(SILK_DCF!$B19,SILK_IS!$A$10:$A$39,0),MATCH(SILK_DCF!I$8,SILK_IS!$A$10:$F$10,0))</f>
        <v>789</v>
      </c>
      <c r="J19" s="52">
        <f>INDEX(SILK_IS!$A$10:$F$39,MATCH(SILK_DCF!$B19,SILK_IS!$A$10:$A$39,0),MATCH(SILK_DCF!J$8,SILK_IS!$A$10:$F$10,0))</f>
        <v>1032</v>
      </c>
      <c r="K19" s="54">
        <f>-K20*K33</f>
        <v>1978.7624999999998</v>
      </c>
      <c r="L19" s="54">
        <f t="shared" ref="L19:T19" si="48">-L20*L33</f>
        <v>2858.2125000000001</v>
      </c>
      <c r="M19" s="54">
        <f t="shared" si="48"/>
        <v>3930.0421875000002</v>
      </c>
      <c r="N19" s="54">
        <f t="shared" si="48"/>
        <v>5273.4020625000003</v>
      </c>
      <c r="O19" s="54">
        <f t="shared" si="48"/>
        <v>6855.422681250001</v>
      </c>
      <c r="P19" s="54">
        <f t="shared" si="48"/>
        <v>8490.1773206250018</v>
      </c>
      <c r="Q19" s="54">
        <f t="shared" si="48"/>
        <v>10006.280413593753</v>
      </c>
      <c r="R19" s="54">
        <f t="shared" si="48"/>
        <v>11740.702351950005</v>
      </c>
      <c r="S19" s="54">
        <f t="shared" si="48"/>
        <v>13472.455948862633</v>
      </c>
      <c r="T19" s="54">
        <f t="shared" si="48"/>
        <v>15406.1496262288</v>
      </c>
    </row>
    <row r="20" spans="2:31" outlineLevel="1">
      <c r="B20" s="1" t="s">
        <v>35</v>
      </c>
      <c r="F20" s="51">
        <f>INDEX(SILK_IS!$A$10:$F$39,MATCH(SILK_DCF!$B20,SILK_IS!$A$10:$A$39,0),MATCH(SILK_DCF!F$8,SILK_IS!$A$10:$F$10,0))</f>
        <v>-443</v>
      </c>
      <c r="G20" s="51">
        <f>INDEX(SILK_IS!$A$10:$F$39,MATCH(SILK_DCF!$B20,SILK_IS!$A$10:$A$39,0),MATCH(SILK_DCF!G$8,SILK_IS!$A$10:$F$10,0))</f>
        <v>-2276</v>
      </c>
      <c r="H20" s="51">
        <f>INDEX(SILK_IS!$A$10:$F$39,MATCH(SILK_DCF!$B20,SILK_IS!$A$10:$A$39,0),MATCH(SILK_DCF!H$8,SILK_IS!$A$10:$F$10,0))</f>
        <v>-535</v>
      </c>
      <c r="I20" s="51">
        <f>INDEX(SILK_IS!$A$10:$F$39,MATCH(SILK_DCF!$B20,SILK_IS!$A$10:$A$39,0),MATCH(SILK_DCF!I$8,SILK_IS!$A$10:$F$10,0))</f>
        <v>-842</v>
      </c>
      <c r="J20" s="52">
        <f>INDEX(SILK_IS!$A$10:$F$39,MATCH(SILK_DCF!$B20,SILK_IS!$A$10:$A$39,0),MATCH(SILK_DCF!J$8,SILK_IS!$A$10:$F$10,0))</f>
        <v>-4758</v>
      </c>
      <c r="K20" s="53">
        <f>-K32*K9</f>
        <v>-3957.5249999999996</v>
      </c>
      <c r="L20" s="53">
        <f t="shared" ref="L20:T20" si="49">-L32*L9</f>
        <v>-5144.7825000000003</v>
      </c>
      <c r="M20" s="53">
        <f t="shared" si="49"/>
        <v>-6430.9781249999996</v>
      </c>
      <c r="N20" s="53">
        <f t="shared" si="49"/>
        <v>-7910.10309375</v>
      </c>
      <c r="O20" s="53">
        <f t="shared" si="49"/>
        <v>-9492.1237125000007</v>
      </c>
      <c r="P20" s="53">
        <f t="shared" si="49"/>
        <v>-10915.942269375</v>
      </c>
      <c r="Q20" s="53">
        <f t="shared" si="49"/>
        <v>-12007.536496312501</v>
      </c>
      <c r="R20" s="53">
        <f t="shared" si="49"/>
        <v>-13208.290145943753</v>
      </c>
      <c r="S20" s="53">
        <f t="shared" si="49"/>
        <v>-14264.953357619255</v>
      </c>
      <c r="T20" s="53">
        <f t="shared" si="49"/>
        <v>-15406.149626228796</v>
      </c>
    </row>
    <row r="21" spans="2:31" outlineLevel="1">
      <c r="B21" s="1" t="s">
        <v>34</v>
      </c>
      <c r="F21" s="54"/>
      <c r="G21" s="53">
        <f>-G69</f>
        <v>1253</v>
      </c>
      <c r="H21" s="53">
        <f t="shared" ref="H21:J21" si="50">-H69</f>
        <v>-2804</v>
      </c>
      <c r="I21" s="53">
        <f t="shared" si="50"/>
        <v>-1503</v>
      </c>
      <c r="J21" s="67">
        <f t="shared" si="50"/>
        <v>-1162</v>
      </c>
      <c r="K21" s="53">
        <f>-K69</f>
        <v>-2250.3999999999996</v>
      </c>
      <c r="L21" s="53">
        <f t="shared" ref="L21:T21" si="51">-L69</f>
        <v>-3166.0200000000004</v>
      </c>
      <c r="M21" s="53">
        <f t="shared" si="51"/>
        <v>-3429.8550000000014</v>
      </c>
      <c r="N21" s="53">
        <f t="shared" si="51"/>
        <v>-3944.3332499999997</v>
      </c>
      <c r="O21" s="53">
        <f t="shared" si="51"/>
        <v>-4218.7216500000031</v>
      </c>
      <c r="P21" s="53">
        <f t="shared" si="51"/>
        <v>-3796.8494849999988</v>
      </c>
      <c r="Q21" s="53">
        <f t="shared" si="51"/>
        <v>-2910.9179385000025</v>
      </c>
      <c r="R21" s="53">
        <f t="shared" si="51"/>
        <v>-3202.0097323500086</v>
      </c>
      <c r="S21" s="53">
        <f t="shared" si="51"/>
        <v>-2817.7685644680023</v>
      </c>
      <c r="T21" s="53">
        <f t="shared" si="51"/>
        <v>-3043.1900496254384</v>
      </c>
    </row>
    <row r="22" spans="2:31" outlineLevel="1">
      <c r="B22" s="3" t="s">
        <v>33</v>
      </c>
      <c r="C22" s="3"/>
      <c r="D22" s="3"/>
      <c r="E22" s="3"/>
      <c r="F22" s="65">
        <f>SUM(F17:F21)</f>
        <v>-18688</v>
      </c>
      <c r="G22" s="65">
        <f t="shared" ref="G22:K22" si="52">SUM(G17:G21)</f>
        <v>-21901</v>
      </c>
      <c r="H22" s="65">
        <f t="shared" si="52"/>
        <v>-30692</v>
      </c>
      <c r="I22" s="65">
        <f t="shared" si="52"/>
        <v>-44415</v>
      </c>
      <c r="J22" s="66">
        <f t="shared" si="52"/>
        <v>-52356</v>
      </c>
      <c r="K22" s="65">
        <f t="shared" si="52"/>
        <v>-37208.537499999999</v>
      </c>
      <c r="L22" s="65">
        <f t="shared" ref="L22" si="53">SUM(L17:L21)</f>
        <v>-28889.932499999999</v>
      </c>
      <c r="M22" s="65">
        <f t="shared" ref="M22" si="54">SUM(M17:M21)</f>
        <v>-10932.662812500013</v>
      </c>
      <c r="N22" s="65">
        <f t="shared" ref="N22" si="55">SUM(N17:N21)</f>
        <v>1750.9409774999731</v>
      </c>
      <c r="O22" s="65">
        <f t="shared" ref="O22" si="56">SUM(O17:O21)</f>
        <v>31471.66350899998</v>
      </c>
      <c r="P22" s="65">
        <f t="shared" ref="P22" si="57">SUM(P17:P21)</f>
        <v>56058.900625406248</v>
      </c>
      <c r="Q22" s="65">
        <f t="shared" ref="Q22" si="58">SUM(Q17:Q21)</f>
        <v>83623.395078258734</v>
      </c>
      <c r="R22" s="65">
        <f t="shared" ref="R22" si="59">SUM(R17:R21)</f>
        <v>104313.47205563211</v>
      </c>
      <c r="S22" s="65">
        <f t="shared" ref="S22" si="60">SUM(S17:S21)</f>
        <v>126612.90823366401</v>
      </c>
      <c r="T22" s="65">
        <f t="shared" ref="T22" si="61">SUM(T17:T21)</f>
        <v>147064.06114193046</v>
      </c>
    </row>
    <row r="23" spans="2:31" outlineLevel="1">
      <c r="C23" s="3"/>
      <c r="D23" s="3"/>
      <c r="E23" s="3"/>
      <c r="F23" s="31"/>
      <c r="G23" s="31"/>
      <c r="H23" s="31"/>
      <c r="I23" s="31"/>
      <c r="J23" s="31"/>
    </row>
    <row r="24" spans="2:31" outlineLevel="1">
      <c r="F24" s="31"/>
    </row>
    <row r="25" spans="2:31" outlineLevel="1">
      <c r="F25" s="21" t="s">
        <v>6</v>
      </c>
      <c r="G25" s="20"/>
      <c r="H25" s="20"/>
      <c r="I25" s="20"/>
      <c r="J25" s="19"/>
      <c r="K25" s="21" t="s">
        <v>5</v>
      </c>
      <c r="L25" s="20"/>
      <c r="M25" s="20"/>
      <c r="N25" s="20"/>
      <c r="O25" s="19"/>
      <c r="P25" s="19"/>
      <c r="Q25" s="19"/>
      <c r="R25" s="19"/>
      <c r="S25" s="19"/>
      <c r="T25" s="19"/>
    </row>
    <row r="26" spans="2:31" outlineLevel="1">
      <c r="F26" s="30">
        <f>F8</f>
        <v>2017</v>
      </c>
      <c r="G26" s="16">
        <f t="shared" ref="G26:Q26" si="62">F26+1</f>
        <v>2018</v>
      </c>
      <c r="H26" s="16">
        <f t="shared" si="62"/>
        <v>2019</v>
      </c>
      <c r="I26" s="16">
        <f t="shared" si="62"/>
        <v>2020</v>
      </c>
      <c r="J26" s="17">
        <f t="shared" si="62"/>
        <v>2021</v>
      </c>
      <c r="K26" s="16">
        <f t="shared" si="62"/>
        <v>2022</v>
      </c>
      <c r="L26" s="16">
        <f t="shared" si="62"/>
        <v>2023</v>
      </c>
      <c r="M26" s="16">
        <f t="shared" si="62"/>
        <v>2024</v>
      </c>
      <c r="N26" s="16">
        <f t="shared" si="62"/>
        <v>2025</v>
      </c>
      <c r="O26" s="16">
        <f t="shared" si="62"/>
        <v>2026</v>
      </c>
      <c r="P26" s="16">
        <f t="shared" si="62"/>
        <v>2027</v>
      </c>
      <c r="Q26" s="16">
        <f t="shared" si="62"/>
        <v>2028</v>
      </c>
      <c r="R26" s="16">
        <f t="shared" ref="R26" si="63">Q26+1</f>
        <v>2029</v>
      </c>
      <c r="S26" s="16">
        <f t="shared" ref="S26" si="64">R26+1</f>
        <v>2030</v>
      </c>
      <c r="T26" s="16">
        <f t="shared" ref="T26" si="65">S26+1</f>
        <v>2031</v>
      </c>
    </row>
    <row r="27" spans="2:31" outlineLevel="1">
      <c r="B27" s="3" t="s">
        <v>32</v>
      </c>
      <c r="C27" s="3"/>
      <c r="E27" s="3"/>
      <c r="F27" s="6"/>
      <c r="G27" s="6"/>
      <c r="H27" s="6"/>
      <c r="I27" s="6"/>
      <c r="J27" s="15"/>
      <c r="K27" s="6"/>
      <c r="L27" s="6"/>
      <c r="M27" s="6"/>
      <c r="N27" s="6"/>
      <c r="O27" s="6"/>
      <c r="P27" s="6"/>
      <c r="Q27" s="6"/>
      <c r="R27" s="6"/>
      <c r="S27" s="6"/>
      <c r="T27" s="6"/>
    </row>
    <row r="28" spans="2:31" outlineLevel="1">
      <c r="B28" s="1" t="s">
        <v>0</v>
      </c>
      <c r="F28" s="6"/>
      <c r="G28" s="6">
        <f>G9/F9-1</f>
        <v>1.4236919624070699</v>
      </c>
      <c r="H28" s="6">
        <f t="shared" ref="H28:J28" si="66">H9/G9-1</f>
        <v>0.83331886448476422</v>
      </c>
      <c r="I28" s="6">
        <f t="shared" si="66"/>
        <v>0.18740726710231392</v>
      </c>
      <c r="J28" s="15">
        <f t="shared" si="66"/>
        <v>0.34891727704148767</v>
      </c>
      <c r="K28" s="7">
        <v>0.3</v>
      </c>
      <c r="L28" s="6">
        <f>K28+W28</f>
        <v>0.3</v>
      </c>
      <c r="M28" s="6">
        <f t="shared" ref="M28:T28" si="67">L28+X28</f>
        <v>0.25</v>
      </c>
      <c r="N28" s="6">
        <f t="shared" si="67"/>
        <v>0.23</v>
      </c>
      <c r="O28" s="6">
        <f t="shared" si="67"/>
        <v>0.2</v>
      </c>
      <c r="P28" s="6">
        <f t="shared" si="67"/>
        <v>0.15</v>
      </c>
      <c r="Q28" s="6">
        <f t="shared" si="67"/>
        <v>0.1</v>
      </c>
      <c r="R28" s="6">
        <f t="shared" si="67"/>
        <v>0.1</v>
      </c>
      <c r="S28" s="6">
        <f t="shared" si="67"/>
        <v>0.08</v>
      </c>
      <c r="T28" s="6">
        <f t="shared" si="67"/>
        <v>0.08</v>
      </c>
      <c r="V28" s="6" t="s">
        <v>1</v>
      </c>
      <c r="W28" s="7">
        <v>0</v>
      </c>
      <c r="X28" s="7">
        <v>-0.05</v>
      </c>
      <c r="Y28" s="7">
        <v>-1.999999999999999E-2</v>
      </c>
      <c r="Z28" s="7">
        <v>-0.03</v>
      </c>
      <c r="AA28" s="7">
        <v>-5.0000000000000017E-2</v>
      </c>
      <c r="AB28" s="7">
        <v>-4.9999999999999989E-2</v>
      </c>
      <c r="AC28" s="7">
        <v>0</v>
      </c>
      <c r="AD28" s="7">
        <v>-2.0000000000000004E-2</v>
      </c>
      <c r="AE28" s="7">
        <v>0</v>
      </c>
    </row>
    <row r="29" spans="2:31" outlineLevel="1">
      <c r="B29" s="1" t="s">
        <v>165</v>
      </c>
      <c r="F29" s="6">
        <f>F10/F9</f>
        <v>0.35972787207181933</v>
      </c>
      <c r="G29" s="6">
        <f t="shared" ref="G29:J29" si="68">G10/G9</f>
        <v>0.31466851867928353</v>
      </c>
      <c r="H29" s="6">
        <f t="shared" si="68"/>
        <v>0.25139691258641916</v>
      </c>
      <c r="I29" s="6">
        <f t="shared" si="68"/>
        <v>0.28302338256211201</v>
      </c>
      <c r="J29" s="15">
        <f t="shared" si="68"/>
        <v>0.2507612712490761</v>
      </c>
      <c r="K29" s="7">
        <v>0.25</v>
      </c>
      <c r="L29" s="6">
        <f>K29+$X29</f>
        <v>0.24777777777777779</v>
      </c>
      <c r="M29" s="6">
        <f t="shared" ref="M29:T30" si="69">L29+$X29</f>
        <v>0.24555555555555558</v>
      </c>
      <c r="N29" s="6">
        <f t="shared" si="69"/>
        <v>0.24333333333333337</v>
      </c>
      <c r="O29" s="6">
        <f t="shared" si="69"/>
        <v>0.24111111111111116</v>
      </c>
      <c r="P29" s="6">
        <f t="shared" si="69"/>
        <v>0.23888888888888896</v>
      </c>
      <c r="Q29" s="6">
        <f t="shared" si="69"/>
        <v>0.23666666666666675</v>
      </c>
      <c r="R29" s="6">
        <f t="shared" si="69"/>
        <v>0.23444444444444454</v>
      </c>
      <c r="S29" s="6">
        <f t="shared" si="69"/>
        <v>0.23222222222222233</v>
      </c>
      <c r="T29" s="6">
        <f t="shared" si="69"/>
        <v>0.23000000000000012</v>
      </c>
      <c r="V29" s="6" t="s">
        <v>1</v>
      </c>
      <c r="W29" s="7">
        <v>0.23</v>
      </c>
      <c r="X29" s="6">
        <f>(W29-K29)/($T$26-$K$26)</f>
        <v>-2.2222222222222209E-3</v>
      </c>
    </row>
    <row r="30" spans="2:31" outlineLevel="1">
      <c r="B30" s="1" t="s">
        <v>167</v>
      </c>
      <c r="F30" s="6">
        <f>F13/F9</f>
        <v>0.50792537522794223</v>
      </c>
      <c r="G30" s="6">
        <f t="shared" ref="G30:J30" si="70">G13/G9</f>
        <v>0.29684289724223745</v>
      </c>
      <c r="H30" s="6">
        <f t="shared" si="70"/>
        <v>0.19370521198345803</v>
      </c>
      <c r="I30" s="6">
        <f t="shared" si="70"/>
        <v>0.28275752057107156</v>
      </c>
      <c r="J30" s="15">
        <f t="shared" si="70"/>
        <v>0.26715939886671591</v>
      </c>
      <c r="K30" s="7">
        <v>0.15</v>
      </c>
      <c r="L30" s="6">
        <f>K30+$X30</f>
        <v>0.1388888888888889</v>
      </c>
      <c r="M30" s="6">
        <f t="shared" si="69"/>
        <v>0.1277777777777778</v>
      </c>
      <c r="N30" s="6">
        <f t="shared" si="69"/>
        <v>0.11666666666666668</v>
      </c>
      <c r="O30" s="6">
        <f t="shared" si="69"/>
        <v>0.10555555555555557</v>
      </c>
      <c r="P30" s="6">
        <f t="shared" si="69"/>
        <v>9.4444444444444456E-2</v>
      </c>
      <c r="Q30" s="6">
        <f t="shared" si="69"/>
        <v>8.3333333333333343E-2</v>
      </c>
      <c r="R30" s="6">
        <f t="shared" si="69"/>
        <v>7.2222222222222229E-2</v>
      </c>
      <c r="S30" s="6">
        <f t="shared" si="69"/>
        <v>6.1111111111111116E-2</v>
      </c>
      <c r="T30" s="6">
        <f t="shared" si="69"/>
        <v>0.05</v>
      </c>
      <c r="V30" s="6" t="s">
        <v>1</v>
      </c>
      <c r="W30" s="7">
        <v>0.05</v>
      </c>
      <c r="X30" s="6">
        <f>(W30-K30)/($T$26-$K$26)</f>
        <v>-1.111111111111111E-2</v>
      </c>
    </row>
    <row r="31" spans="2:31" outlineLevel="1">
      <c r="B31" s="1" t="s">
        <v>166</v>
      </c>
      <c r="F31" s="6">
        <f>F14/F9</f>
        <v>1.4210267919764343</v>
      </c>
      <c r="G31" s="6">
        <f t="shared" ref="G31:J31" si="71">G14/G9</f>
        <v>1.0076106143473103</v>
      </c>
      <c r="H31" s="6">
        <f t="shared" si="71"/>
        <v>0.99788490071660829</v>
      </c>
      <c r="I31" s="6">
        <f t="shared" si="71"/>
        <v>1.0039480505669507</v>
      </c>
      <c r="J31" s="15">
        <f t="shared" si="71"/>
        <v>0.94985957132298593</v>
      </c>
      <c r="K31" s="7">
        <v>0.85</v>
      </c>
      <c r="L31" s="6">
        <f>K31+W31</f>
        <v>0.75</v>
      </c>
      <c r="M31" s="6">
        <f t="shared" ref="M31:T31" si="72">L31+X31</f>
        <v>0.65</v>
      </c>
      <c r="N31" s="6">
        <f t="shared" si="72"/>
        <v>0.6</v>
      </c>
      <c r="O31" s="6">
        <f t="shared" si="72"/>
        <v>0.5</v>
      </c>
      <c r="P31" s="6">
        <f t="shared" si="72"/>
        <v>0.45</v>
      </c>
      <c r="Q31" s="6">
        <f t="shared" si="72"/>
        <v>0.4</v>
      </c>
      <c r="R31" s="6">
        <f t="shared" si="72"/>
        <v>0.38</v>
      </c>
      <c r="S31" s="6">
        <f t="shared" si="72"/>
        <v>0.36</v>
      </c>
      <c r="T31" s="6">
        <f t="shared" si="72"/>
        <v>0.35</v>
      </c>
      <c r="V31" s="6" t="s">
        <v>1</v>
      </c>
      <c r="W31" s="7">
        <v>-0.1</v>
      </c>
      <c r="X31" s="7">
        <v>-0.1</v>
      </c>
      <c r="Y31" s="7">
        <v>-5.0000000000000044E-2</v>
      </c>
      <c r="Z31" s="7">
        <v>-0.1</v>
      </c>
      <c r="AA31" s="7">
        <v>-4.9999999999999989E-2</v>
      </c>
      <c r="AB31" s="7">
        <v>-4.9999999999999989E-2</v>
      </c>
      <c r="AC31" s="7">
        <v>-2.0000000000000018E-2</v>
      </c>
      <c r="AD31" s="7">
        <v>-2.0000000000000018E-2</v>
      </c>
      <c r="AE31" s="7">
        <v>-1.0000000000000009E-2</v>
      </c>
    </row>
    <row r="32" spans="2:31" outlineLevel="1">
      <c r="B32" s="1" t="s">
        <v>31</v>
      </c>
      <c r="F32" s="6">
        <f>-F20/F9</f>
        <v>3.107027633609202E-2</v>
      </c>
      <c r="G32" s="6">
        <f t="shared" ref="G32:J32" si="73">-G20/G9</f>
        <v>6.5862198686228543E-2</v>
      </c>
      <c r="H32" s="6">
        <f t="shared" si="73"/>
        <v>8.4446128105565548E-3</v>
      </c>
      <c r="I32" s="6">
        <f t="shared" si="73"/>
        <v>1.1192789822802984E-2</v>
      </c>
      <c r="J32" s="15">
        <f t="shared" si="73"/>
        <v>4.6888396156688841E-2</v>
      </c>
      <c r="K32" s="7">
        <v>0.03</v>
      </c>
      <c r="L32" s="6">
        <f>K32+$X32</f>
        <v>0.03</v>
      </c>
      <c r="M32" s="6">
        <f t="shared" ref="M32:T32" si="74">L32+$X32</f>
        <v>0.03</v>
      </c>
      <c r="N32" s="6">
        <f t="shared" si="74"/>
        <v>0.03</v>
      </c>
      <c r="O32" s="6">
        <f t="shared" si="74"/>
        <v>0.03</v>
      </c>
      <c r="P32" s="6">
        <f t="shared" si="74"/>
        <v>0.03</v>
      </c>
      <c r="Q32" s="6">
        <f t="shared" si="74"/>
        <v>0.03</v>
      </c>
      <c r="R32" s="6">
        <f t="shared" si="74"/>
        <v>0.03</v>
      </c>
      <c r="S32" s="6">
        <f t="shared" si="74"/>
        <v>0.03</v>
      </c>
      <c r="T32" s="6">
        <f t="shared" si="74"/>
        <v>0.03</v>
      </c>
      <c r="V32" s="6" t="s">
        <v>1</v>
      </c>
      <c r="W32" s="7">
        <v>0.03</v>
      </c>
      <c r="X32" s="6">
        <f>(W32-K32)/($T$26-$K$26)</f>
        <v>0</v>
      </c>
    </row>
    <row r="33" spans="2:24" outlineLevel="1">
      <c r="B33" s="1" t="s">
        <v>30</v>
      </c>
      <c r="F33" s="6">
        <f>-F19/F20</f>
        <v>0.29119638826185101</v>
      </c>
      <c r="G33" s="6">
        <f t="shared" ref="G33:J33" si="75">-G19/G20</f>
        <v>0.22715289982425307</v>
      </c>
      <c r="H33" s="6">
        <f t="shared" si="75"/>
        <v>1.3308411214953271</v>
      </c>
      <c r="I33" s="6">
        <f t="shared" si="75"/>
        <v>0.93705463182897863</v>
      </c>
      <c r="J33" s="15">
        <f t="shared" si="75"/>
        <v>0.21689785624211855</v>
      </c>
      <c r="K33" s="7">
        <v>0.5</v>
      </c>
      <c r="L33" s="6">
        <f>K33+$X33</f>
        <v>0.55555555555555558</v>
      </c>
      <c r="M33" s="6">
        <f t="shared" ref="M33:T33" si="76">L33+$X33</f>
        <v>0.61111111111111116</v>
      </c>
      <c r="N33" s="6">
        <f t="shared" si="76"/>
        <v>0.66666666666666674</v>
      </c>
      <c r="O33" s="6">
        <f t="shared" si="76"/>
        <v>0.72222222222222232</v>
      </c>
      <c r="P33" s="6">
        <f t="shared" si="76"/>
        <v>0.7777777777777779</v>
      </c>
      <c r="Q33" s="6">
        <f t="shared" si="76"/>
        <v>0.83333333333333348</v>
      </c>
      <c r="R33" s="6">
        <f t="shared" si="76"/>
        <v>0.88888888888888906</v>
      </c>
      <c r="S33" s="6">
        <f t="shared" si="76"/>
        <v>0.94444444444444464</v>
      </c>
      <c r="T33" s="6">
        <f t="shared" si="76"/>
        <v>1.0000000000000002</v>
      </c>
      <c r="V33" s="6" t="s">
        <v>1</v>
      </c>
      <c r="W33" s="7">
        <v>1</v>
      </c>
      <c r="X33" s="6">
        <f>(W33-K33)/($T$26-$K$26)</f>
        <v>5.5555555555555552E-2</v>
      </c>
    </row>
    <row r="34" spans="2:24" outlineLevel="1">
      <c r="B34" s="1" t="s">
        <v>29</v>
      </c>
      <c r="F34" s="6">
        <f>F11/F9</f>
        <v>0.64027212792818067</v>
      </c>
      <c r="G34" s="6">
        <f t="shared" ref="G34:T34" si="77">G11/G9</f>
        <v>0.68533148132071653</v>
      </c>
      <c r="H34" s="6">
        <f t="shared" si="77"/>
        <v>0.74860308741358084</v>
      </c>
      <c r="I34" s="6">
        <f t="shared" si="77"/>
        <v>0.71697661743788799</v>
      </c>
      <c r="J34" s="15">
        <f t="shared" si="77"/>
        <v>0.7492387287509239</v>
      </c>
      <c r="K34" s="6">
        <f t="shared" si="77"/>
        <v>0.75</v>
      </c>
      <c r="L34" s="6">
        <f t="shared" si="77"/>
        <v>0.75222222222222224</v>
      </c>
      <c r="M34" s="6">
        <f t="shared" si="77"/>
        <v>0.75444444444444436</v>
      </c>
      <c r="N34" s="6">
        <f t="shared" si="77"/>
        <v>0.7566666666666666</v>
      </c>
      <c r="O34" s="6">
        <f t="shared" si="77"/>
        <v>0.75888888888888884</v>
      </c>
      <c r="P34" s="6">
        <f t="shared" si="77"/>
        <v>0.76111111111111107</v>
      </c>
      <c r="Q34" s="6">
        <f t="shared" si="77"/>
        <v>0.7633333333333332</v>
      </c>
      <c r="R34" s="6">
        <f t="shared" si="77"/>
        <v>0.76555555555555543</v>
      </c>
      <c r="S34" s="6">
        <f t="shared" si="77"/>
        <v>0.76777777777777767</v>
      </c>
      <c r="T34" s="6">
        <f t="shared" si="77"/>
        <v>0.76999999999999991</v>
      </c>
    </row>
    <row r="35" spans="2:24" outlineLevel="1">
      <c r="F35" s="2"/>
      <c r="G35" s="2"/>
      <c r="H35" s="2"/>
      <c r="I35" s="2"/>
      <c r="J35" s="2"/>
      <c r="K35" s="29"/>
      <c r="L35" s="2"/>
      <c r="M35" s="2"/>
      <c r="N35" s="2"/>
      <c r="O35" s="2"/>
      <c r="P35" s="2"/>
      <c r="Q35" s="2"/>
      <c r="R35" s="2"/>
      <c r="S35" s="2"/>
      <c r="T35" s="2"/>
    </row>
    <row r="36" spans="2:24" ht="14.4">
      <c r="B36" s="5" t="s">
        <v>28</v>
      </c>
      <c r="C36" s="4"/>
      <c r="D36" s="5"/>
      <c r="E36" s="5"/>
      <c r="F36" s="4"/>
      <c r="G36" s="4"/>
      <c r="H36" s="4"/>
      <c r="I36" s="4"/>
      <c r="J36" s="4"/>
      <c r="K36" s="4"/>
      <c r="L36" s="4"/>
      <c r="M36" s="4"/>
      <c r="N36" s="4"/>
      <c r="O36" s="4"/>
      <c r="P36" s="4"/>
      <c r="Q36" s="4"/>
      <c r="R36" s="4"/>
      <c r="S36" s="4"/>
      <c r="T36" s="4"/>
    </row>
    <row r="37" spans="2:24" outlineLevel="1"/>
    <row r="38" spans="2:24" outlineLevel="1">
      <c r="F38" s="14" t="s">
        <v>3</v>
      </c>
      <c r="G38" s="13"/>
      <c r="H38" s="13"/>
      <c r="I38" s="12"/>
      <c r="K38" s="14" t="s">
        <v>27</v>
      </c>
      <c r="L38" s="13"/>
      <c r="M38" s="13"/>
      <c r="N38" s="12"/>
      <c r="P38" s="14" t="s">
        <v>281</v>
      </c>
      <c r="Q38" s="13"/>
      <c r="R38" s="13"/>
      <c r="S38" s="12"/>
    </row>
    <row r="39" spans="2:24" outlineLevel="1">
      <c r="F39" s="11" t="s">
        <v>26</v>
      </c>
      <c r="I39" s="55">
        <f>T22</f>
        <v>147064.06114193046</v>
      </c>
      <c r="K39" s="11" t="s">
        <v>25</v>
      </c>
      <c r="N39" s="55">
        <f>T15+T19</f>
        <v>205415.32834971725</v>
      </c>
      <c r="P39" s="11"/>
      <c r="S39" s="156"/>
    </row>
    <row r="40" spans="2:24" outlineLevel="1">
      <c r="F40" s="11" t="s">
        <v>2</v>
      </c>
      <c r="I40" s="28">
        <v>4.4999999999999998E-2</v>
      </c>
      <c r="K40" s="11" t="s">
        <v>24</v>
      </c>
      <c r="N40" s="27">
        <v>24.16</v>
      </c>
      <c r="P40" s="11" t="s">
        <v>288</v>
      </c>
      <c r="S40" s="67">
        <f>N48</f>
        <v>2224424.7842682814</v>
      </c>
    </row>
    <row r="41" spans="2:24" outlineLevel="1">
      <c r="F41" s="11" t="s">
        <v>23</v>
      </c>
      <c r="I41" s="55">
        <f>(I39*(1+I40))/(I42-I40)</f>
        <v>2974723.5972277345</v>
      </c>
      <c r="K41" s="11" t="s">
        <v>23</v>
      </c>
      <c r="N41" s="55">
        <f>N39*N40</f>
        <v>4962834.3329291688</v>
      </c>
      <c r="O41" s="22"/>
      <c r="P41" s="11" t="s">
        <v>282</v>
      </c>
      <c r="S41" s="67">
        <f>I80+I87</f>
        <v>35540.409999999996</v>
      </c>
      <c r="T41" s="22"/>
    </row>
    <row r="42" spans="2:24" outlineLevel="1">
      <c r="F42" s="11" t="s">
        <v>205</v>
      </c>
      <c r="I42" s="26">
        <f>F115</f>
        <v>9.6662596160712128E-2</v>
      </c>
      <c r="K42" s="11" t="s">
        <v>205</v>
      </c>
      <c r="N42" s="26">
        <f>F115</f>
        <v>9.6662596160712128E-2</v>
      </c>
      <c r="O42" s="22"/>
      <c r="P42" s="11" t="s">
        <v>283</v>
      </c>
      <c r="S42" s="157">
        <f ca="1">Option_Value!E30</f>
        <v>165807.55223531814</v>
      </c>
      <c r="T42" s="22"/>
    </row>
    <row r="43" spans="2:24" outlineLevel="1">
      <c r="F43" s="11" t="s">
        <v>22</v>
      </c>
      <c r="I43" s="55">
        <f>I41/(1+I42)^(T26-J26)</f>
        <v>1182269.0103750357</v>
      </c>
      <c r="K43" s="11" t="s">
        <v>22</v>
      </c>
      <c r="N43" s="55">
        <f>-PV(N42,T26-J26,,N41)</f>
        <v>1972420.3085340406</v>
      </c>
      <c r="P43" s="9" t="s">
        <v>16</v>
      </c>
      <c r="Q43" s="8"/>
      <c r="R43" s="8"/>
      <c r="S43" s="158">
        <f ca="1">(S40-S42)/S41</f>
        <v>57.923283159450428</v>
      </c>
    </row>
    <row r="44" spans="2:24" outlineLevel="1">
      <c r="F44" s="11"/>
      <c r="I44" s="10"/>
      <c r="K44" s="11"/>
      <c r="N44" s="10"/>
    </row>
    <row r="45" spans="2:24" outlineLevel="1">
      <c r="F45" s="11" t="s">
        <v>21</v>
      </c>
      <c r="I45" s="55">
        <f>NPV(I42,K22:T22)</f>
        <v>194366.47573424061</v>
      </c>
      <c r="K45" s="11" t="s">
        <v>21</v>
      </c>
      <c r="N45" s="55">
        <f>NPV(I42,K22:T22)</f>
        <v>194366.47573424061</v>
      </c>
      <c r="P45" s="14" t="s">
        <v>284</v>
      </c>
      <c r="Q45" s="13"/>
      <c r="R45" s="13"/>
      <c r="S45" s="12"/>
    </row>
    <row r="46" spans="2:24" outlineLevel="1">
      <c r="F46" s="11" t="s">
        <v>20</v>
      </c>
      <c r="I46" s="55">
        <f>I45+I43</f>
        <v>1376635.4861092763</v>
      </c>
      <c r="K46" s="11" t="s">
        <v>20</v>
      </c>
      <c r="N46" s="55">
        <f>N45+N43</f>
        <v>2166786.7842682814</v>
      </c>
      <c r="P46" s="11" t="s">
        <v>18</v>
      </c>
      <c r="S46" s="67">
        <f>I48</f>
        <v>1434273.4861092763</v>
      </c>
    </row>
    <row r="47" spans="2:24" outlineLevel="1">
      <c r="F47" s="11" t="s">
        <v>19</v>
      </c>
      <c r="I47" s="52">
        <f>SILK_BS!B53+SILK_BS!B44+SILK_BS!B55-SILK_BS!B16</f>
        <v>-57638</v>
      </c>
      <c r="K47" s="11" t="s">
        <v>19</v>
      </c>
      <c r="N47" s="52">
        <f>SILK_BS!B53+SILK_BS!B44+SILK_BS!B55-SILK_BS!B16</f>
        <v>-57638</v>
      </c>
      <c r="P47" s="11" t="s">
        <v>17</v>
      </c>
      <c r="S47" s="67">
        <f>N88</f>
        <v>39321.348999999995</v>
      </c>
    </row>
    <row r="48" spans="2:24" outlineLevel="1">
      <c r="F48" s="11" t="s">
        <v>18</v>
      </c>
      <c r="I48" s="55">
        <f>I46-I47</f>
        <v>1434273.4861092763</v>
      </c>
      <c r="K48" s="11" t="s">
        <v>18</v>
      </c>
      <c r="N48" s="55">
        <f>N46-N47</f>
        <v>2224424.7842682814</v>
      </c>
      <c r="P48" s="11" t="s">
        <v>285</v>
      </c>
      <c r="S48" s="161">
        <f>N85</f>
        <v>77320.202549999987</v>
      </c>
    </row>
    <row r="49" spans="2:20" outlineLevel="1">
      <c r="F49" s="11" t="s">
        <v>17</v>
      </c>
      <c r="I49" s="67">
        <f>I88</f>
        <v>37465.367181709065</v>
      </c>
      <c r="K49" s="11" t="s">
        <v>17</v>
      </c>
      <c r="N49" s="67">
        <f>I88</f>
        <v>37465.367181709065</v>
      </c>
      <c r="P49" s="9" t="s">
        <v>16</v>
      </c>
      <c r="Q49" s="8"/>
      <c r="R49" s="8"/>
      <c r="S49" s="158">
        <f>(S46+S48)/S47</f>
        <v>38.442060791436134</v>
      </c>
    </row>
    <row r="50" spans="2:20" outlineLevel="1">
      <c r="F50" s="9" t="s">
        <v>16</v>
      </c>
      <c r="G50" s="8"/>
      <c r="H50" s="8"/>
      <c r="I50" s="25">
        <f>I48/I49</f>
        <v>38.282648589908966</v>
      </c>
      <c r="K50" s="9" t="s">
        <v>16</v>
      </c>
      <c r="L50" s="8"/>
      <c r="M50" s="8"/>
      <c r="N50" s="25">
        <f>N48/N49</f>
        <v>59.372827536420516</v>
      </c>
    </row>
    <row r="51" spans="2:20" outlineLevel="1"/>
    <row r="52" spans="2:20" outlineLevel="1">
      <c r="E52" s="24"/>
    </row>
    <row r="53" spans="2:20" outlineLevel="1">
      <c r="G53" s="23"/>
    </row>
    <row r="54" spans="2:20" ht="14.4">
      <c r="B54" s="5" t="s">
        <v>15</v>
      </c>
      <c r="C54" s="4"/>
      <c r="D54" s="5"/>
      <c r="E54" s="5"/>
      <c r="F54" s="4"/>
      <c r="G54" s="4"/>
      <c r="H54" s="4"/>
      <c r="I54" s="4"/>
      <c r="J54" s="4"/>
      <c r="K54" s="4"/>
      <c r="L54" s="4"/>
      <c r="M54" s="4"/>
      <c r="N54" s="4"/>
      <c r="O54" s="4"/>
      <c r="P54" s="4"/>
      <c r="Q54" s="4"/>
      <c r="R54" s="4"/>
      <c r="S54" s="4"/>
      <c r="T54" s="4"/>
    </row>
    <row r="55" spans="2:20" outlineLevel="1"/>
    <row r="56" spans="2:20" outlineLevel="1"/>
    <row r="57" spans="2:20" outlineLevel="1">
      <c r="F57" s="21" t="s">
        <v>6</v>
      </c>
      <c r="G57" s="20"/>
      <c r="H57" s="20"/>
      <c r="I57" s="20"/>
      <c r="J57" s="19"/>
      <c r="K57" s="21" t="s">
        <v>5</v>
      </c>
      <c r="L57" s="20"/>
      <c r="M57" s="20"/>
      <c r="N57" s="20"/>
      <c r="O57" s="19"/>
      <c r="P57" s="19"/>
      <c r="Q57" s="19"/>
      <c r="R57" s="19"/>
      <c r="S57" s="19"/>
      <c r="T57" s="19"/>
    </row>
    <row r="58" spans="2:20" outlineLevel="1">
      <c r="F58" s="18">
        <f>F8</f>
        <v>2017</v>
      </c>
      <c r="G58" s="16">
        <f t="shared" ref="G58:O58" si="78">F58+1</f>
        <v>2018</v>
      </c>
      <c r="H58" s="16">
        <f t="shared" si="78"/>
        <v>2019</v>
      </c>
      <c r="I58" s="16">
        <f t="shared" si="78"/>
        <v>2020</v>
      </c>
      <c r="J58" s="17">
        <f t="shared" si="78"/>
        <v>2021</v>
      </c>
      <c r="K58" s="16">
        <f t="shared" si="78"/>
        <v>2022</v>
      </c>
      <c r="L58" s="16">
        <f t="shared" si="78"/>
        <v>2023</v>
      </c>
      <c r="M58" s="16">
        <f t="shared" si="78"/>
        <v>2024</v>
      </c>
      <c r="N58" s="16">
        <f t="shared" si="78"/>
        <v>2025</v>
      </c>
      <c r="O58" s="16">
        <f t="shared" si="78"/>
        <v>2026</v>
      </c>
      <c r="P58" s="16">
        <f t="shared" ref="P58" si="79">O58+1</f>
        <v>2027</v>
      </c>
      <c r="Q58" s="16">
        <f t="shared" ref="Q58" si="80">P58+1</f>
        <v>2028</v>
      </c>
      <c r="R58" s="16">
        <f t="shared" ref="R58" si="81">Q58+1</f>
        <v>2029</v>
      </c>
      <c r="S58" s="16">
        <f t="shared" ref="S58" si="82">R58+1</f>
        <v>2030</v>
      </c>
      <c r="T58" s="16">
        <f t="shared" ref="T58" si="83">S58+1</f>
        <v>2031</v>
      </c>
    </row>
    <row r="59" spans="2:20" outlineLevel="1">
      <c r="B59" s="1" t="s">
        <v>14</v>
      </c>
      <c r="F59" s="62">
        <f>INDEX(SILK_BS!$A$10:$F$62,MATCH(SILK_DCF!$B59,SILK_BS!$A$10:$A$62,0),MATCH(SILK_DCF!F$58,SILK_BS!$A$10:$F$10,0))</f>
        <v>42073</v>
      </c>
      <c r="G59" s="62">
        <f>INDEX(SILK_BS!$A$10:$F$62,MATCH(SILK_DCF!$B59,SILK_BS!$A$10:$A$62,0),MATCH(SILK_DCF!G$58,SILK_BS!$A$10:$F$10,0))</f>
        <v>36662</v>
      </c>
      <c r="H59" s="62">
        <f>INDEX(SILK_BS!$A$10:$F$62,MATCH(SILK_DCF!$B59,SILK_BS!$A$10:$A$62,0),MATCH(SILK_DCF!H$58,SILK_BS!$A$10:$F$10,0))</f>
        <v>112490</v>
      </c>
      <c r="I59" s="62">
        <f>INDEX(SILK_BS!$A$10:$F$62,MATCH(SILK_DCF!$B59,SILK_BS!$A$10:$A$62,0),MATCH(SILK_DCF!I$58,SILK_BS!$A$10:$F$10,0))</f>
        <v>173328</v>
      </c>
      <c r="J59" s="63">
        <f>INDEX(SILK_BS!$A$10:$F$62,MATCH(SILK_DCF!$B59,SILK_BS!$A$10:$A$62,0),MATCH(SILK_DCF!J$58,SILK_BS!$A$10:$F$10,0))</f>
        <v>143326</v>
      </c>
      <c r="K59" s="53"/>
      <c r="L59" s="53"/>
      <c r="M59" s="53"/>
      <c r="N59" s="53"/>
      <c r="O59" s="53"/>
      <c r="P59" s="53"/>
      <c r="Q59" s="53"/>
      <c r="R59" s="53"/>
      <c r="S59" s="53"/>
      <c r="T59" s="53"/>
    </row>
    <row r="60" spans="2:20" outlineLevel="1">
      <c r="B60" s="1" t="s">
        <v>13</v>
      </c>
      <c r="F60" s="51">
        <f>INDEX(SILK_BS!$A$10:$F$62,MATCH(SILK_DCF!$B60,SILK_BS!$A$10:$A$62,0),MATCH(SILK_DCF!F$58,SILK_BS!$A$10:$F$10,0))</f>
        <v>33331</v>
      </c>
      <c r="G60" s="51">
        <f>INDEX(SILK_BS!$A$10:$F$62,MATCH(SILK_DCF!$B60,SILK_BS!$A$10:$A$62,0),MATCH(SILK_DCF!G$58,SILK_BS!$A$10:$F$10,0))</f>
        <v>24990</v>
      </c>
      <c r="H60" s="51">
        <f>INDEX(SILK_BS!$A$10:$F$62,MATCH(SILK_DCF!$B60,SILK_BS!$A$10:$A$62,0),MATCH(SILK_DCF!H$58,SILK_BS!$A$10:$F$10,0))</f>
        <v>39181</v>
      </c>
      <c r="I60" s="51">
        <f>INDEX(SILK_BS!$A$10:$F$62,MATCH(SILK_DCF!$B60,SILK_BS!$A$10:$A$62,0),MATCH(SILK_DCF!I$58,SILK_BS!$A$10:$F$10,0))</f>
        <v>69466</v>
      </c>
      <c r="J60" s="52">
        <f>INDEX(SILK_BS!$A$10:$F$62,MATCH(SILK_DCF!$B60,SILK_BS!$A$10:$A$62,0),MATCH(SILK_DCF!J$58,SILK_BS!$A$10:$F$10,0))</f>
        <v>110231</v>
      </c>
      <c r="K60" s="53"/>
      <c r="L60" s="53"/>
      <c r="M60" s="53"/>
      <c r="N60" s="53"/>
      <c r="O60" s="53"/>
      <c r="P60" s="53"/>
      <c r="Q60" s="53"/>
      <c r="R60" s="53"/>
      <c r="S60" s="53"/>
      <c r="T60" s="53"/>
    </row>
    <row r="61" spans="2:20" outlineLevel="1">
      <c r="B61" s="1" t="s">
        <v>12</v>
      </c>
      <c r="F61" s="51">
        <f>INDEX(SILK_BS!$A$10:$F$62,MATCH(SILK_DCF!$B61,SILK_BS!$A$10:$A$62,0),MATCH(SILK_DCF!F$58,SILK_BS!$A$10:$F$10,0))</f>
        <v>0</v>
      </c>
      <c r="G61" s="51">
        <f>INDEX(SILK_BS!$A$10:$F$62,MATCH(SILK_DCF!$B61,SILK_BS!$A$10:$A$62,0),MATCH(SILK_DCF!G$58,SILK_BS!$A$10:$F$10,0))</f>
        <v>0</v>
      </c>
      <c r="H61" s="51">
        <f>INDEX(SILK_BS!$A$10:$F$62,MATCH(SILK_DCF!$B61,SILK_BS!$A$10:$A$62,0),MATCH(SILK_DCF!H$58,SILK_BS!$A$10:$F$10,0))</f>
        <v>51508</v>
      </c>
      <c r="I61" s="51">
        <f>INDEX(SILK_BS!$A$10:$F$62,MATCH(SILK_DCF!$B61,SILK_BS!$A$10:$A$62,0),MATCH(SILK_DCF!I$58,SILK_BS!$A$10:$F$10,0))</f>
        <v>78016</v>
      </c>
      <c r="J61" s="52">
        <f>INDEX(SILK_BS!$A$10:$F$62,MATCH(SILK_DCF!$B61,SILK_BS!$A$10:$A$62,0),MATCH(SILK_DCF!J$58,SILK_BS!$A$10:$F$10,0))</f>
        <v>0</v>
      </c>
      <c r="K61" s="53"/>
      <c r="L61" s="53"/>
      <c r="M61" s="53"/>
      <c r="N61" s="53"/>
      <c r="O61" s="53"/>
      <c r="P61" s="53"/>
      <c r="Q61" s="53"/>
      <c r="R61" s="53"/>
      <c r="S61" s="53"/>
      <c r="T61" s="53"/>
    </row>
    <row r="62" spans="2:20" outlineLevel="1">
      <c r="B62" s="1" t="s">
        <v>11</v>
      </c>
      <c r="F62" s="53">
        <f>F59-F60-F61</f>
        <v>8742</v>
      </c>
      <c r="G62" s="53">
        <f t="shared" ref="G62:J62" si="84">G59-G60-G61</f>
        <v>11672</v>
      </c>
      <c r="H62" s="53">
        <f t="shared" si="84"/>
        <v>21801</v>
      </c>
      <c r="I62" s="53">
        <f t="shared" si="84"/>
        <v>25846</v>
      </c>
      <c r="J62" s="67">
        <f t="shared" si="84"/>
        <v>33095</v>
      </c>
      <c r="K62" s="53"/>
      <c r="L62" s="53"/>
      <c r="M62" s="53"/>
      <c r="N62" s="53"/>
      <c r="O62" s="53"/>
      <c r="P62" s="53"/>
      <c r="Q62" s="53"/>
      <c r="R62" s="53"/>
      <c r="S62" s="53"/>
      <c r="T62" s="53"/>
    </row>
    <row r="63" spans="2:20" outlineLevel="1">
      <c r="F63" s="53"/>
      <c r="G63" s="53"/>
      <c r="H63" s="53"/>
      <c r="I63" s="53"/>
      <c r="J63" s="67"/>
      <c r="K63" s="53"/>
      <c r="L63" s="53"/>
      <c r="M63" s="53"/>
      <c r="N63" s="53"/>
      <c r="O63" s="53"/>
      <c r="P63" s="53"/>
      <c r="Q63" s="53"/>
      <c r="R63" s="53"/>
      <c r="S63" s="53"/>
      <c r="T63" s="53"/>
    </row>
    <row r="64" spans="2:20" outlineLevel="1">
      <c r="B64" s="1" t="s">
        <v>10</v>
      </c>
      <c r="F64" s="51">
        <f>INDEX(SILK_BS!$A$10:$F$62,MATCH(SILK_DCF!$B64,SILK_BS!$A$10:$A$62,0),MATCH(SILK_DCF!F$58,SILK_BS!$A$10:$F$10,0))</f>
        <v>4655</v>
      </c>
      <c r="G64" s="51">
        <f>INDEX(SILK_BS!$A$10:$F$62,MATCH(SILK_DCF!$B64,SILK_BS!$A$10:$A$62,0),MATCH(SILK_DCF!G$58,SILK_BS!$A$10:$F$10,0))</f>
        <v>8838</v>
      </c>
      <c r="H64" s="51">
        <f>INDEX(SILK_BS!$A$10:$F$62,MATCH(SILK_DCF!$B64,SILK_BS!$A$10:$A$62,0),MATCH(SILK_DCF!H$58,SILK_BS!$A$10:$F$10,0))</f>
        <v>16932</v>
      </c>
      <c r="I64" s="51">
        <f>INDEX(SILK_BS!$A$10:$F$62,MATCH(SILK_DCF!$B64,SILK_BS!$A$10:$A$62,0),MATCH(SILK_DCF!I$58,SILK_BS!$A$10:$F$10,0))</f>
        <v>19555</v>
      </c>
      <c r="J64" s="52">
        <f>INDEX(SILK_BS!$A$10:$F$62,MATCH(SILK_DCF!$B64,SILK_BS!$A$10:$A$62,0),MATCH(SILK_DCF!J$58,SILK_BS!$A$10:$F$10,0))</f>
        <v>26086</v>
      </c>
      <c r="K64" s="53"/>
      <c r="L64" s="53"/>
      <c r="M64" s="53"/>
      <c r="N64" s="53"/>
      <c r="O64" s="53"/>
      <c r="P64" s="53"/>
      <c r="Q64" s="53"/>
      <c r="R64" s="53"/>
      <c r="S64" s="53"/>
      <c r="T64" s="53"/>
    </row>
    <row r="65" spans="1:20" outlineLevel="1">
      <c r="B65" s="1" t="s">
        <v>110</v>
      </c>
      <c r="F65" s="51">
        <f>INDEX(SILK_BS!$A$10:$F$62,MATCH(SILK_DCF!$B65,SILK_BS!$A$10:$A$62,0),MATCH(SILK_DCF!F$58,SILK_BS!$A$10:$F$10,0))</f>
        <v>0</v>
      </c>
      <c r="G65" s="51">
        <f>INDEX(SILK_BS!$A$10:$F$62,MATCH(SILK_DCF!$B65,SILK_BS!$A$10:$A$62,0),MATCH(SILK_DCF!G$58,SILK_BS!$A$10:$F$10,0))</f>
        <v>0</v>
      </c>
      <c r="H65" s="51">
        <f>INDEX(SILK_BS!$A$10:$F$62,MATCH(SILK_DCF!$B65,SILK_BS!$A$10:$A$62,0),MATCH(SILK_DCF!H$58,SILK_BS!$A$10:$F$10,0))</f>
        <v>769</v>
      </c>
      <c r="I65" s="51">
        <f>INDEX(SILK_BS!$A$10:$F$62,MATCH(SILK_DCF!$B65,SILK_BS!$A$10:$A$62,0),MATCH(SILK_DCF!I$58,SILK_BS!$A$10:$F$10,0))</f>
        <v>850</v>
      </c>
      <c r="J65" s="52">
        <f>INDEX(SILK_BS!$A$10:$F$62,MATCH(SILK_DCF!$B65,SILK_BS!$A$10:$A$62,0),MATCH(SILK_DCF!J$58,SILK_BS!$A$10:$F$10,0))</f>
        <v>1294</v>
      </c>
      <c r="K65" s="53"/>
      <c r="L65" s="53"/>
      <c r="M65" s="53"/>
      <c r="N65" s="53"/>
      <c r="O65" s="53"/>
      <c r="P65" s="53"/>
      <c r="Q65" s="53"/>
      <c r="R65" s="53"/>
      <c r="S65" s="53"/>
      <c r="T65" s="53"/>
    </row>
    <row r="66" spans="1:20" outlineLevel="1">
      <c r="B66" s="1" t="s">
        <v>9</v>
      </c>
      <c r="F66" s="53">
        <f>F64-F65</f>
        <v>4655</v>
      </c>
      <c r="G66" s="53">
        <f t="shared" ref="G66:J66" si="85">G64-G65</f>
        <v>8838</v>
      </c>
      <c r="H66" s="53">
        <f t="shared" si="85"/>
        <v>16163</v>
      </c>
      <c r="I66" s="53">
        <f t="shared" si="85"/>
        <v>18705</v>
      </c>
      <c r="J66" s="67">
        <f t="shared" si="85"/>
        <v>24792</v>
      </c>
      <c r="K66" s="53"/>
      <c r="L66" s="53"/>
      <c r="M66" s="53"/>
      <c r="N66" s="53"/>
      <c r="O66" s="53"/>
      <c r="P66" s="53"/>
      <c r="Q66" s="53"/>
      <c r="R66" s="53"/>
      <c r="S66" s="53"/>
      <c r="T66" s="53"/>
    </row>
    <row r="67" spans="1:20" outlineLevel="1">
      <c r="F67" s="53"/>
      <c r="G67" s="53"/>
      <c r="H67" s="53"/>
      <c r="I67" s="53"/>
      <c r="J67" s="67"/>
      <c r="K67" s="53"/>
      <c r="L67" s="53"/>
      <c r="M67" s="53"/>
      <c r="N67" s="53"/>
      <c r="O67" s="53"/>
      <c r="P67" s="53"/>
      <c r="Q67" s="53"/>
      <c r="R67" s="53"/>
      <c r="S67" s="53"/>
      <c r="T67" s="53"/>
    </row>
    <row r="68" spans="1:20" outlineLevel="1">
      <c r="B68" s="3" t="s">
        <v>8</v>
      </c>
      <c r="F68" s="53">
        <f>F62-F66</f>
        <v>4087</v>
      </c>
      <c r="G68" s="53">
        <f t="shared" ref="G68:J68" si="86">G62-G66</f>
        <v>2834</v>
      </c>
      <c r="H68" s="53">
        <f t="shared" si="86"/>
        <v>5638</v>
      </c>
      <c r="I68" s="53">
        <f t="shared" si="86"/>
        <v>7141</v>
      </c>
      <c r="J68" s="67">
        <f t="shared" si="86"/>
        <v>8303</v>
      </c>
      <c r="K68" s="53">
        <f t="shared" ref="K68:T68" si="87">K74*K9</f>
        <v>10553.4</v>
      </c>
      <c r="L68" s="53">
        <f t="shared" si="87"/>
        <v>13719.42</v>
      </c>
      <c r="M68" s="53">
        <f t="shared" si="87"/>
        <v>17149.275000000001</v>
      </c>
      <c r="N68" s="53">
        <f t="shared" si="87"/>
        <v>21093.608250000001</v>
      </c>
      <c r="O68" s="53">
        <f t="shared" si="87"/>
        <v>25312.329900000004</v>
      </c>
      <c r="P68" s="53">
        <f t="shared" si="87"/>
        <v>29109.179385000003</v>
      </c>
      <c r="Q68" s="53">
        <f t="shared" si="87"/>
        <v>32020.097323500006</v>
      </c>
      <c r="R68" s="53">
        <f t="shared" si="87"/>
        <v>35222.107055850014</v>
      </c>
      <c r="S68" s="53">
        <f t="shared" si="87"/>
        <v>38039.875620318016</v>
      </c>
      <c r="T68" s="53">
        <f t="shared" si="87"/>
        <v>41083.065669943455</v>
      </c>
    </row>
    <row r="69" spans="1:20" outlineLevel="1">
      <c r="B69" s="3" t="s">
        <v>7</v>
      </c>
      <c r="F69" s="64"/>
      <c r="G69" s="64">
        <f>G68-F68</f>
        <v>-1253</v>
      </c>
      <c r="H69" s="64">
        <f t="shared" ref="H69:K69" si="88">H68-G68</f>
        <v>2804</v>
      </c>
      <c r="I69" s="64">
        <f t="shared" si="88"/>
        <v>1503</v>
      </c>
      <c r="J69" s="68">
        <f t="shared" si="88"/>
        <v>1162</v>
      </c>
      <c r="K69" s="64">
        <f t="shared" si="88"/>
        <v>2250.3999999999996</v>
      </c>
      <c r="L69" s="64">
        <f t="shared" ref="L69" si="89">L68-K68</f>
        <v>3166.0200000000004</v>
      </c>
      <c r="M69" s="64">
        <f t="shared" ref="M69" si="90">M68-L68</f>
        <v>3429.8550000000014</v>
      </c>
      <c r="N69" s="64">
        <f t="shared" ref="N69" si="91">N68-M68</f>
        <v>3944.3332499999997</v>
      </c>
      <c r="O69" s="64">
        <f t="shared" ref="O69" si="92">O68-N68</f>
        <v>4218.7216500000031</v>
      </c>
      <c r="P69" s="64">
        <f t="shared" ref="P69" si="93">P68-O68</f>
        <v>3796.8494849999988</v>
      </c>
      <c r="Q69" s="64">
        <f t="shared" ref="Q69" si="94">Q68-P68</f>
        <v>2910.9179385000025</v>
      </c>
      <c r="R69" s="64">
        <f t="shared" ref="R69" si="95">R68-Q68</f>
        <v>3202.0097323500086</v>
      </c>
      <c r="S69" s="64">
        <f t="shared" ref="S69" si="96">S68-R68</f>
        <v>2817.7685644680023</v>
      </c>
      <c r="T69" s="64">
        <f t="shared" ref="T69" si="97">T68-S68</f>
        <v>3043.1900496254384</v>
      </c>
    </row>
    <row r="70" spans="1:20" outlineLevel="1"/>
    <row r="71" spans="1:20" outlineLevel="1"/>
    <row r="72" spans="1:20" outlineLevel="1">
      <c r="F72" s="21" t="s">
        <v>6</v>
      </c>
      <c r="G72" s="20"/>
      <c r="H72" s="20"/>
      <c r="I72" s="20"/>
      <c r="J72" s="19"/>
      <c r="K72" s="21" t="s">
        <v>5</v>
      </c>
      <c r="L72" s="20"/>
      <c r="M72" s="20"/>
      <c r="N72" s="20"/>
      <c r="O72" s="19"/>
      <c r="P72" s="19"/>
      <c r="Q72" s="19"/>
      <c r="R72" s="19"/>
      <c r="S72" s="19"/>
      <c r="T72" s="19"/>
    </row>
    <row r="73" spans="1:20" outlineLevel="1">
      <c r="F73" s="18">
        <f>F58</f>
        <v>2017</v>
      </c>
      <c r="G73" s="16">
        <f t="shared" ref="G73:O73" si="98">F73+1</f>
        <v>2018</v>
      </c>
      <c r="H73" s="16">
        <f t="shared" si="98"/>
        <v>2019</v>
      </c>
      <c r="I73" s="16">
        <f t="shared" si="98"/>
        <v>2020</v>
      </c>
      <c r="J73" s="17">
        <f t="shared" si="98"/>
        <v>2021</v>
      </c>
      <c r="K73" s="16">
        <f t="shared" si="98"/>
        <v>2022</v>
      </c>
      <c r="L73" s="16">
        <f t="shared" si="98"/>
        <v>2023</v>
      </c>
      <c r="M73" s="16">
        <f t="shared" si="98"/>
        <v>2024</v>
      </c>
      <c r="N73" s="16">
        <f t="shared" si="98"/>
        <v>2025</v>
      </c>
      <c r="O73" s="16">
        <f t="shared" si="98"/>
        <v>2026</v>
      </c>
      <c r="P73" s="16">
        <f t="shared" ref="P73" si="99">O73+1</f>
        <v>2027</v>
      </c>
      <c r="Q73" s="16">
        <f t="shared" ref="Q73" si="100">P73+1</f>
        <v>2028</v>
      </c>
      <c r="R73" s="16">
        <f t="shared" ref="R73" si="101">Q73+1</f>
        <v>2029</v>
      </c>
      <c r="S73" s="16">
        <f t="shared" ref="S73" si="102">R73+1</f>
        <v>2030</v>
      </c>
      <c r="T73" s="16">
        <f t="shared" ref="T73" si="103">S73+1</f>
        <v>2031</v>
      </c>
    </row>
    <row r="74" spans="1:20" outlineLevel="1">
      <c r="B74" s="1" t="s">
        <v>4</v>
      </c>
      <c r="F74" s="6">
        <f>F68/F9</f>
        <v>0.2866460934212372</v>
      </c>
      <c r="G74" s="6">
        <f>G68/G9</f>
        <v>8.2009433689267011E-2</v>
      </c>
      <c r="H74" s="6">
        <f>H68/H9</f>
        <v>8.8992013132556738E-2</v>
      </c>
      <c r="I74" s="6">
        <f>I68/I9</f>
        <v>9.4926023900993001E-2</v>
      </c>
      <c r="J74" s="15">
        <f>J68/J9</f>
        <v>8.1823109140182315E-2</v>
      </c>
      <c r="K74" s="7">
        <v>0.08</v>
      </c>
      <c r="L74" s="6">
        <f>$K$74</f>
        <v>0.08</v>
      </c>
      <c r="M74" s="6">
        <f t="shared" ref="M74:T74" si="104">$K$74</f>
        <v>0.08</v>
      </c>
      <c r="N74" s="6">
        <f t="shared" si="104"/>
        <v>0.08</v>
      </c>
      <c r="O74" s="6">
        <f t="shared" si="104"/>
        <v>0.08</v>
      </c>
      <c r="P74" s="6">
        <f t="shared" si="104"/>
        <v>0.08</v>
      </c>
      <c r="Q74" s="6">
        <f t="shared" si="104"/>
        <v>0.08</v>
      </c>
      <c r="R74" s="6">
        <f t="shared" si="104"/>
        <v>0.08</v>
      </c>
      <c r="S74" s="6">
        <f t="shared" si="104"/>
        <v>0.08</v>
      </c>
      <c r="T74" s="6">
        <f t="shared" si="104"/>
        <v>0.08</v>
      </c>
    </row>
    <row r="75" spans="1:20" outlineLevel="1"/>
    <row r="76" spans="1:20" ht="14.4">
      <c r="A76" s="1" t="s">
        <v>191</v>
      </c>
      <c r="B76" s="86" t="s">
        <v>192</v>
      </c>
      <c r="C76" s="87"/>
      <c r="D76" s="86"/>
      <c r="E76" s="86"/>
      <c r="F76" s="87"/>
      <c r="G76" s="87"/>
      <c r="H76" s="87"/>
      <c r="I76" s="87"/>
      <c r="J76" s="87"/>
      <c r="K76" s="87"/>
      <c r="L76" s="87"/>
      <c r="M76" s="87"/>
      <c r="N76" s="87"/>
      <c r="O76" s="87"/>
      <c r="P76" s="87"/>
      <c r="Q76" s="87"/>
      <c r="R76" s="87"/>
      <c r="S76" s="87"/>
      <c r="T76" s="87"/>
    </row>
    <row r="77" spans="1:20" outlineLevel="1"/>
    <row r="78" spans="1:20" outlineLevel="1">
      <c r="H78" s="88"/>
      <c r="I78" s="88"/>
      <c r="J78" s="88"/>
      <c r="K78" s="88"/>
      <c r="L78" s="88"/>
      <c r="M78" s="88"/>
      <c r="N78" s="88"/>
    </row>
    <row r="79" spans="1:20" outlineLevel="1">
      <c r="B79" s="89"/>
      <c r="C79" s="89"/>
      <c r="D79" s="89"/>
      <c r="E79" s="89"/>
      <c r="F79" s="90" t="s">
        <v>193</v>
      </c>
      <c r="G79" s="91"/>
      <c r="H79" s="92"/>
      <c r="I79" s="93"/>
      <c r="J79" s="89"/>
      <c r="K79" s="94" t="s">
        <v>194</v>
      </c>
      <c r="L79" s="92"/>
      <c r="M79" s="92"/>
      <c r="N79" s="93"/>
      <c r="O79" s="89"/>
    </row>
    <row r="80" spans="1:20" outlineLevel="1">
      <c r="F80" s="95" t="s">
        <v>195</v>
      </c>
      <c r="G80" s="96"/>
      <c r="H80" s="97"/>
      <c r="I80" s="98">
        <v>35010.135999999999</v>
      </c>
      <c r="J80" s="88"/>
      <c r="K80" s="99" t="s">
        <v>195</v>
      </c>
      <c r="L80" s="97"/>
      <c r="M80" s="97"/>
      <c r="N80" s="98">
        <v>35010.135999999999</v>
      </c>
    </row>
    <row r="81" spans="1:20" outlineLevel="1">
      <c r="F81" s="95" t="s">
        <v>196</v>
      </c>
      <c r="G81" s="96"/>
      <c r="H81" s="97"/>
      <c r="I81" s="98">
        <v>3780.9389999999999</v>
      </c>
      <c r="J81" s="88"/>
      <c r="K81" s="99" t="s">
        <v>197</v>
      </c>
      <c r="L81" s="97"/>
      <c r="M81" s="97"/>
      <c r="N81" s="98">
        <v>3780.9389999999999</v>
      </c>
    </row>
    <row r="82" spans="1:20" outlineLevel="1">
      <c r="F82" s="95" t="s">
        <v>198</v>
      </c>
      <c r="G82" s="96"/>
      <c r="H82" s="97"/>
      <c r="I82" s="100">
        <v>20.45</v>
      </c>
      <c r="J82" s="88"/>
      <c r="K82" s="99" t="s">
        <v>198</v>
      </c>
      <c r="L82" s="97"/>
      <c r="M82" s="97"/>
      <c r="N82" s="100">
        <v>20.45</v>
      </c>
    </row>
    <row r="83" spans="1:20" outlineLevel="1">
      <c r="F83" s="95" t="s">
        <v>199</v>
      </c>
      <c r="G83" s="96"/>
      <c r="H83" s="97"/>
      <c r="I83" s="100">
        <v>41.66</v>
      </c>
      <c r="J83" s="88"/>
      <c r="K83" s="99"/>
      <c r="L83" s="97"/>
      <c r="M83" s="97"/>
      <c r="N83" s="101"/>
    </row>
    <row r="84" spans="1:20" outlineLevel="1">
      <c r="F84" s="95" t="s">
        <v>200</v>
      </c>
      <c r="G84" s="96"/>
      <c r="H84" s="97"/>
      <c r="I84" s="102">
        <f>IF(I82&lt;I83,I81,0)</f>
        <v>3780.9389999999999</v>
      </c>
      <c r="J84" s="88"/>
      <c r="K84" s="99"/>
      <c r="L84" s="97"/>
      <c r="M84" s="97"/>
      <c r="N84" s="101"/>
    </row>
    <row r="85" spans="1:20" outlineLevel="1">
      <c r="F85" s="95" t="s">
        <v>201</v>
      </c>
      <c r="G85" s="96"/>
      <c r="H85" s="97"/>
      <c r="I85" s="103">
        <f>I84*I82</f>
        <v>77320.202549999987</v>
      </c>
      <c r="J85" s="88"/>
      <c r="K85" s="99" t="s">
        <v>201</v>
      </c>
      <c r="L85" s="97"/>
      <c r="M85" s="97"/>
      <c r="N85" s="103">
        <f>N82*N81</f>
        <v>77320.202549999987</v>
      </c>
    </row>
    <row r="86" spans="1:20" outlineLevel="1">
      <c r="F86" s="95" t="s">
        <v>202</v>
      </c>
      <c r="G86" s="96"/>
      <c r="H86" s="97"/>
      <c r="I86" s="102">
        <f>I85/I83</f>
        <v>1855.9818182909264</v>
      </c>
      <c r="J86" s="88"/>
      <c r="K86" s="99"/>
      <c r="L86" s="97"/>
      <c r="M86" s="97"/>
      <c r="N86" s="101"/>
    </row>
    <row r="87" spans="1:20" outlineLevel="1">
      <c r="F87" s="95" t="s">
        <v>203</v>
      </c>
      <c r="G87" s="96"/>
      <c r="H87" s="97"/>
      <c r="I87" s="98">
        <v>530.274</v>
      </c>
      <c r="J87" s="88"/>
      <c r="K87" s="99" t="s">
        <v>203</v>
      </c>
      <c r="L87" s="97"/>
      <c r="M87" s="97"/>
      <c r="N87" s="98">
        <v>530.274</v>
      </c>
    </row>
    <row r="88" spans="1:20" outlineLevel="1">
      <c r="F88" s="95" t="s">
        <v>204</v>
      </c>
      <c r="G88" s="96"/>
      <c r="H88" s="96"/>
      <c r="I88" s="102">
        <f>I80+I81-I86+I87</f>
        <v>37465.367181709065</v>
      </c>
      <c r="K88" s="95" t="s">
        <v>204</v>
      </c>
      <c r="L88" s="96"/>
      <c r="M88" s="96"/>
      <c r="N88" s="102">
        <f>N80+N81+N87</f>
        <v>39321.348999999995</v>
      </c>
    </row>
    <row r="89" spans="1:20" outlineLevel="1">
      <c r="F89" s="104"/>
      <c r="G89" s="105"/>
      <c r="H89" s="105"/>
      <c r="I89" s="106"/>
      <c r="K89" s="104"/>
      <c r="L89" s="105"/>
      <c r="M89" s="105"/>
      <c r="N89" s="106"/>
    </row>
    <row r="90" spans="1:20" outlineLevel="1"/>
    <row r="91" spans="1:20" ht="14.4">
      <c r="A91" s="1" t="s">
        <v>191</v>
      </c>
      <c r="B91" s="5" t="s">
        <v>205</v>
      </c>
      <c r="C91" s="4"/>
      <c r="D91" s="5"/>
      <c r="E91" s="5"/>
      <c r="F91" s="4"/>
      <c r="G91" s="4"/>
      <c r="H91" s="4"/>
      <c r="I91" s="4"/>
      <c r="J91" s="4"/>
      <c r="K91" s="4"/>
      <c r="L91" s="4"/>
      <c r="M91" s="4"/>
      <c r="N91" s="4"/>
      <c r="O91" s="4"/>
      <c r="P91" s="4"/>
      <c r="Q91" s="4"/>
      <c r="R91" s="4"/>
      <c r="S91" s="4"/>
      <c r="T91" s="4"/>
    </row>
    <row r="92" spans="1:20" ht="14.4" outlineLevel="1">
      <c r="B92" s="107"/>
      <c r="C92" s="108"/>
      <c r="D92" s="107"/>
      <c r="E92" s="107"/>
      <c r="F92" s="108"/>
      <c r="G92" s="108"/>
      <c r="H92" s="108"/>
      <c r="I92" s="108"/>
      <c r="J92" s="108"/>
      <c r="K92" s="108"/>
      <c r="L92" s="108"/>
      <c r="M92" s="108"/>
      <c r="N92" s="108"/>
      <c r="O92" s="108"/>
    </row>
    <row r="93" spans="1:20" outlineLevel="1">
      <c r="F93" s="3" t="s">
        <v>206</v>
      </c>
      <c r="G93" s="3"/>
    </row>
    <row r="94" spans="1:20" outlineLevel="1">
      <c r="B94" s="109" t="s">
        <v>207</v>
      </c>
    </row>
    <row r="95" spans="1:20" outlineLevel="1">
      <c r="B95" s="110" t="s">
        <v>208</v>
      </c>
      <c r="F95" s="128">
        <f>8502+74033</f>
        <v>82535</v>
      </c>
      <c r="G95" s="111"/>
      <c r="H95" s="111"/>
    </row>
    <row r="96" spans="1:20" outlineLevel="1">
      <c r="B96" s="110" t="s">
        <v>209</v>
      </c>
      <c r="F96" s="129">
        <v>41.66</v>
      </c>
      <c r="G96" s="111"/>
      <c r="H96" s="111"/>
    </row>
    <row r="97" spans="2:10" outlineLevel="1">
      <c r="B97" s="110" t="s">
        <v>210</v>
      </c>
      <c r="F97" s="130">
        <v>35240.04</v>
      </c>
      <c r="G97" s="111"/>
      <c r="H97" s="111" t="s">
        <v>211</v>
      </c>
    </row>
    <row r="98" spans="2:10" outlineLevel="1">
      <c r="B98" s="110" t="s">
        <v>212</v>
      </c>
      <c r="F98" s="64">
        <f>F97*F96</f>
        <v>1468100.0663999999</v>
      </c>
      <c r="G98" s="111"/>
      <c r="H98" s="111"/>
    </row>
    <row r="99" spans="2:10" outlineLevel="1">
      <c r="B99" s="111"/>
      <c r="F99" s="111"/>
      <c r="G99" s="111"/>
      <c r="H99" s="111"/>
    </row>
    <row r="100" spans="2:10" outlineLevel="1">
      <c r="B100" s="110" t="s">
        <v>213</v>
      </c>
      <c r="F100" s="6">
        <f>F95/(F95+F98)</f>
        <v>5.3226579089053941E-2</v>
      </c>
      <c r="G100" s="111"/>
      <c r="H100" s="111"/>
    </row>
    <row r="101" spans="2:10" outlineLevel="1">
      <c r="B101" s="110" t="s">
        <v>214</v>
      </c>
      <c r="F101" s="6">
        <f>F98/(F98+F95)</f>
        <v>0.94677342091094607</v>
      </c>
      <c r="G101" s="111"/>
      <c r="H101" s="111"/>
    </row>
    <row r="102" spans="2:10" outlineLevel="1">
      <c r="B102" s="111"/>
      <c r="F102" s="111"/>
      <c r="G102" s="111"/>
      <c r="H102" s="111"/>
    </row>
    <row r="103" spans="2:10" outlineLevel="1">
      <c r="B103" s="109" t="s">
        <v>215</v>
      </c>
      <c r="F103" s="111"/>
      <c r="G103" s="111"/>
      <c r="H103" s="111"/>
    </row>
    <row r="104" spans="2:10" outlineLevel="1">
      <c r="B104" s="110" t="s">
        <v>216</v>
      </c>
      <c r="F104" s="132">
        <f>(SILK_IS!B22)/SILK_IS!B24</f>
        <v>-18.851469420174741</v>
      </c>
      <c r="G104" s="111"/>
      <c r="H104" s="111"/>
    </row>
    <row r="105" spans="2:10" outlineLevel="1">
      <c r="B105" s="110" t="s">
        <v>217</v>
      </c>
      <c r="F105" s="131">
        <v>0.1434</v>
      </c>
      <c r="G105" s="111"/>
      <c r="H105" s="111"/>
    </row>
    <row r="106" spans="2:10" outlineLevel="1">
      <c r="B106" s="110" t="s">
        <v>218</v>
      </c>
      <c r="F106" s="6">
        <f>F105+F110</f>
        <v>0.18364</v>
      </c>
      <c r="G106" s="111"/>
      <c r="H106" s="111"/>
    </row>
    <row r="107" spans="2:10" outlineLevel="1">
      <c r="B107" s="110" t="s">
        <v>219</v>
      </c>
      <c r="F107" s="131">
        <v>0.21</v>
      </c>
      <c r="G107" s="111"/>
      <c r="H107" s="111"/>
    </row>
    <row r="108" spans="2:10" outlineLevel="1">
      <c r="B108" s="111"/>
      <c r="F108" s="111"/>
      <c r="G108" s="111"/>
      <c r="H108" s="111"/>
      <c r="J108" s="24"/>
    </row>
    <row r="109" spans="2:10" outlineLevel="1">
      <c r="B109" s="109" t="s">
        <v>220</v>
      </c>
      <c r="F109" s="111"/>
      <c r="G109" s="111"/>
      <c r="H109" s="111"/>
    </row>
    <row r="110" spans="2:10" outlineLevel="1">
      <c r="B110" s="110" t="s">
        <v>221</v>
      </c>
      <c r="F110" s="131">
        <v>4.0239999999999998E-2</v>
      </c>
      <c r="G110" s="111"/>
      <c r="H110" s="111"/>
    </row>
    <row r="111" spans="2:10" outlineLevel="1">
      <c r="B111" s="110" t="s">
        <v>222</v>
      </c>
      <c r="F111" s="131">
        <v>5.2999999999999999E-2</v>
      </c>
      <c r="G111" s="111"/>
      <c r="H111" s="111"/>
    </row>
    <row r="112" spans="2:10" outlineLevel="1">
      <c r="B112" s="110" t="s">
        <v>223</v>
      </c>
      <c r="F112" s="114">
        <f>C132</f>
        <v>1.0132239505096243</v>
      </c>
      <c r="G112" s="111"/>
      <c r="H112" s="111"/>
    </row>
    <row r="113" spans="1:20" outlineLevel="1">
      <c r="B113" s="109" t="s">
        <v>220</v>
      </c>
      <c r="F113" s="112">
        <f>F110+F112*F111</f>
        <v>9.3940869377010086E-2</v>
      </c>
      <c r="G113" s="111"/>
      <c r="H113" s="111"/>
    </row>
    <row r="114" spans="1:20" outlineLevel="1">
      <c r="B114" s="111"/>
      <c r="F114" s="111"/>
      <c r="G114" s="111"/>
      <c r="H114" s="111"/>
    </row>
    <row r="115" spans="1:20" outlineLevel="1">
      <c r="B115" s="109" t="s">
        <v>224</v>
      </c>
      <c r="F115" s="112">
        <f>F101*F113+F100*F106*(1-F107)</f>
        <v>9.6662596160712128E-2</v>
      </c>
      <c r="G115" s="111"/>
      <c r="H115" s="111"/>
    </row>
    <row r="116" spans="1:20" outlineLevel="1"/>
    <row r="117" spans="1:20" ht="14.4">
      <c r="A117" s="1" t="s">
        <v>191</v>
      </c>
      <c r="B117" s="5" t="s">
        <v>225</v>
      </c>
      <c r="C117" s="4"/>
      <c r="D117" s="5"/>
      <c r="E117" s="5"/>
      <c r="F117" s="4"/>
      <c r="G117" s="4"/>
      <c r="H117" s="4"/>
      <c r="I117" s="4"/>
      <c r="J117" s="4"/>
      <c r="K117" s="4"/>
      <c r="L117" s="4"/>
      <c r="M117" s="4"/>
      <c r="N117" s="4"/>
      <c r="O117" s="4"/>
      <c r="P117" s="4"/>
      <c r="Q117" s="4"/>
      <c r="R117" s="4"/>
      <c r="S117" s="4"/>
      <c r="T117" s="4"/>
    </row>
    <row r="118" spans="1:20" outlineLevel="1">
      <c r="B118" s="110"/>
      <c r="C118" s="110"/>
      <c r="D118" s="110"/>
      <c r="E118" s="110"/>
      <c r="F118" s="110"/>
      <c r="G118" s="110"/>
      <c r="H118" s="110"/>
      <c r="I118" s="110"/>
      <c r="J118" s="110"/>
      <c r="K118" s="110"/>
      <c r="L118" s="110"/>
      <c r="M118" s="110"/>
    </row>
    <row r="119" spans="1:20" outlineLevel="1">
      <c r="B119" s="110"/>
      <c r="C119" s="110"/>
      <c r="D119" s="110"/>
      <c r="E119" s="110"/>
      <c r="F119" s="110"/>
      <c r="G119" s="110"/>
      <c r="H119" s="110"/>
      <c r="I119" s="110"/>
      <c r="J119" s="110"/>
      <c r="K119" s="110"/>
      <c r="L119" s="110"/>
      <c r="M119" s="110"/>
    </row>
    <row r="120" spans="1:20" outlineLevel="1">
      <c r="B120" s="110"/>
      <c r="C120" s="110"/>
      <c r="D120" s="110"/>
      <c r="E120" s="115" t="s">
        <v>226</v>
      </c>
      <c r="F120" s="115" t="s">
        <v>227</v>
      </c>
      <c r="G120" s="116" t="s">
        <v>228</v>
      </c>
      <c r="H120" s="116" t="s">
        <v>229</v>
      </c>
      <c r="I120" s="116" t="s">
        <v>230</v>
      </c>
      <c r="J120" s="110"/>
      <c r="K120" s="116" t="s">
        <v>231</v>
      </c>
    </row>
    <row r="121" spans="1:20" ht="14.4" outlineLevel="1" thickBot="1">
      <c r="B121" s="117" t="s">
        <v>232</v>
      </c>
      <c r="C121" s="118" t="s">
        <v>233</v>
      </c>
      <c r="D121" s="119"/>
      <c r="E121" s="119" t="s">
        <v>234</v>
      </c>
      <c r="F121" s="119" t="s">
        <v>235</v>
      </c>
      <c r="G121" s="119" t="s">
        <v>234</v>
      </c>
      <c r="H121" s="119" t="s">
        <v>223</v>
      </c>
      <c r="I121" s="119" t="s">
        <v>223</v>
      </c>
      <c r="J121" s="110"/>
      <c r="K121" s="119" t="s">
        <v>236</v>
      </c>
    </row>
    <row r="122" spans="1:20" outlineLevel="1">
      <c r="B122" s="110" t="s">
        <v>237</v>
      </c>
      <c r="C122" s="110" t="s">
        <v>238</v>
      </c>
      <c r="D122" s="110"/>
      <c r="E122" s="120">
        <v>1062</v>
      </c>
      <c r="F122" s="121">
        <f>(15420+1794)/1000</f>
        <v>17.213999999999999</v>
      </c>
      <c r="G122" s="122">
        <f>F122/E122</f>
        <v>1.6209039548022598E-2</v>
      </c>
      <c r="H122" s="123">
        <v>1.1200000000000001</v>
      </c>
      <c r="I122" s="122">
        <f>H122/(1+(G122*(1-K122)))</f>
        <v>1.1058395681379642</v>
      </c>
      <c r="J122" s="110"/>
      <c r="K122" s="113">
        <v>0.21</v>
      </c>
    </row>
    <row r="123" spans="1:20" outlineLevel="1">
      <c r="B123" s="110" t="s">
        <v>239</v>
      </c>
      <c r="C123" s="110" t="s">
        <v>240</v>
      </c>
      <c r="D123" s="110"/>
      <c r="E123" s="120">
        <v>514.67700000000002</v>
      </c>
      <c r="F123" s="121">
        <f>(14460+5415+3061)/1000</f>
        <v>22.936</v>
      </c>
      <c r="G123" s="122">
        <f>F123/E123</f>
        <v>4.4563872098422892E-2</v>
      </c>
      <c r="H123" s="123">
        <v>1.44</v>
      </c>
      <c r="I123" s="122">
        <f t="shared" ref="I123:I126" si="105">H123/(1+(G123*(1-K123)))</f>
        <v>1.3910282133266505</v>
      </c>
      <c r="J123" s="110"/>
      <c r="K123" s="113">
        <v>0.21</v>
      </c>
    </row>
    <row r="124" spans="1:20" outlineLevel="1">
      <c r="B124" s="110" t="s">
        <v>241</v>
      </c>
      <c r="C124" s="110" t="s">
        <v>242</v>
      </c>
      <c r="D124" s="110"/>
      <c r="E124" s="120">
        <v>562.37</v>
      </c>
      <c r="F124" s="121">
        <f>49798/1000</f>
        <v>49.798000000000002</v>
      </c>
      <c r="G124" s="122">
        <f t="shared" ref="G124:G126" si="106">F124/E124</f>
        <v>8.8550242722762601E-2</v>
      </c>
      <c r="H124" s="123">
        <v>0.9</v>
      </c>
      <c r="I124" s="122">
        <f t="shared" si="105"/>
        <v>0.8411571134167829</v>
      </c>
      <c r="J124" s="110"/>
      <c r="K124" s="113">
        <v>0.21</v>
      </c>
    </row>
    <row r="125" spans="1:20" outlineLevel="1">
      <c r="B125" s="110" t="s">
        <v>243</v>
      </c>
      <c r="C125" s="110" t="s">
        <v>244</v>
      </c>
      <c r="D125" s="110"/>
      <c r="E125" s="120">
        <v>1061</v>
      </c>
      <c r="F125" s="121">
        <v>0</v>
      </c>
      <c r="G125" s="122">
        <f t="shared" si="106"/>
        <v>0</v>
      </c>
      <c r="H125" s="123">
        <v>0.26</v>
      </c>
      <c r="I125" s="122">
        <f t="shared" si="105"/>
        <v>0.26</v>
      </c>
      <c r="J125" s="110"/>
      <c r="K125" s="113">
        <v>0.21</v>
      </c>
    </row>
    <row r="126" spans="1:20" outlineLevel="1">
      <c r="B126" s="110" t="s">
        <v>245</v>
      </c>
      <c r="C126" s="110" t="s">
        <v>246</v>
      </c>
      <c r="D126" s="110"/>
      <c r="E126" s="120">
        <v>3865</v>
      </c>
      <c r="F126" s="121">
        <f>(465000+28196000)/1000000</f>
        <v>28.661000000000001</v>
      </c>
      <c r="G126" s="122">
        <f t="shared" si="106"/>
        <v>7.4155239327296256E-3</v>
      </c>
      <c r="H126" s="123">
        <v>1.26</v>
      </c>
      <c r="I126" s="122">
        <f t="shared" si="105"/>
        <v>1.2526615778907368</v>
      </c>
      <c r="J126" s="110"/>
      <c r="K126" s="113">
        <v>0.21</v>
      </c>
    </row>
    <row r="127" spans="1:20" outlineLevel="1">
      <c r="B127" s="110"/>
      <c r="C127" s="110"/>
      <c r="D127" s="110"/>
      <c r="E127" s="120"/>
      <c r="F127" s="121"/>
      <c r="G127" s="122"/>
      <c r="H127" s="123"/>
      <c r="I127" s="124"/>
      <c r="J127" s="110"/>
      <c r="K127" s="112"/>
    </row>
    <row r="128" spans="1:20" outlineLevel="1">
      <c r="B128" s="110"/>
      <c r="C128" s="110"/>
      <c r="D128" s="110"/>
      <c r="E128" s="110"/>
      <c r="F128" s="110"/>
      <c r="G128" s="110"/>
      <c r="H128" s="110"/>
      <c r="I128" s="110"/>
      <c r="J128" s="110"/>
      <c r="K128" s="110"/>
      <c r="L128" s="110"/>
      <c r="M128" s="110"/>
    </row>
    <row r="129" spans="1:20" outlineLevel="1">
      <c r="B129" s="110" t="s">
        <v>247</v>
      </c>
      <c r="C129" s="124">
        <f>AVERAGE(I122:I126)</f>
        <v>0.97013729455442699</v>
      </c>
      <c r="D129" s="110"/>
      <c r="E129" s="110"/>
      <c r="F129" s="110"/>
      <c r="G129" s="110"/>
      <c r="H129" s="110"/>
      <c r="I129" s="124"/>
      <c r="J129" s="110"/>
      <c r="K129" s="124"/>
      <c r="L129" s="110"/>
      <c r="M129" s="110"/>
    </row>
    <row r="130" spans="1:20" outlineLevel="1">
      <c r="B130" s="110" t="str">
        <f>C1&amp;" Debt/Equity ratio"</f>
        <v xml:space="preserve"> Debt/Equity ratio</v>
      </c>
      <c r="C130" s="124">
        <f>F95/F98</f>
        <v>5.6218919874030195E-2</v>
      </c>
      <c r="D130" s="110"/>
      <c r="E130" s="110"/>
      <c r="F130" s="110"/>
      <c r="G130" s="110"/>
      <c r="H130" s="110"/>
      <c r="I130" s="125"/>
      <c r="J130" s="110"/>
      <c r="K130" s="126"/>
      <c r="L130" s="110"/>
      <c r="M130" s="110"/>
    </row>
    <row r="131" spans="1:20" outlineLevel="1">
      <c r="B131" s="110" t="str">
        <f>C1&amp;" Tax Rate"</f>
        <v xml:space="preserve"> Tax Rate</v>
      </c>
      <c r="C131" s="113">
        <v>0.21</v>
      </c>
      <c r="D131" s="110"/>
      <c r="E131" s="110"/>
      <c r="F131" s="110"/>
      <c r="G131" s="110"/>
      <c r="H131" s="110"/>
      <c r="I131" s="112"/>
      <c r="J131" s="110"/>
      <c r="L131" s="110"/>
      <c r="M131" s="110"/>
    </row>
    <row r="132" spans="1:20" outlineLevel="1">
      <c r="B132" s="109" t="str">
        <f>C1&amp;" Levered Beta"</f>
        <v xml:space="preserve"> Levered Beta</v>
      </c>
      <c r="C132" s="124">
        <f>C129*(1+(C130*(1-C131)))</f>
        <v>1.0132239505096243</v>
      </c>
      <c r="D132" s="110"/>
      <c r="E132" s="110"/>
      <c r="F132" s="110"/>
      <c r="G132" s="110"/>
      <c r="H132" s="110"/>
      <c r="I132" s="124"/>
      <c r="J132" s="110"/>
      <c r="K132" s="127"/>
      <c r="L132" s="110"/>
      <c r="M132" s="110"/>
    </row>
    <row r="133" spans="1:20" outlineLevel="1"/>
    <row r="134" spans="1:20" ht="14.4">
      <c r="A134" s="1" t="s">
        <v>191</v>
      </c>
      <c r="B134" s="5" t="s">
        <v>248</v>
      </c>
      <c r="C134" s="4"/>
      <c r="D134" s="5"/>
      <c r="E134" s="5"/>
      <c r="F134" s="4"/>
      <c r="G134" s="4"/>
      <c r="H134" s="4"/>
      <c r="I134" s="4"/>
      <c r="J134" s="4"/>
      <c r="K134" s="4"/>
      <c r="L134" s="4"/>
      <c r="M134" s="4"/>
      <c r="N134" s="4"/>
      <c r="O134" s="4"/>
      <c r="P134" s="4"/>
      <c r="Q134" s="4"/>
      <c r="R134" s="4"/>
      <c r="S134" s="4"/>
      <c r="T134" s="4"/>
    </row>
    <row r="136" spans="1:20">
      <c r="G136" s="22">
        <f>I50</f>
        <v>38.282648589908966</v>
      </c>
    </row>
    <row r="137" spans="1:20">
      <c r="F137" s="2">
        <f t="shared" ref="F137:F140" si="107">F138-$D$138</f>
        <v>0.50000000000000011</v>
      </c>
      <c r="G137" s="22">
        <f t="dataTable" ref="G137:G147" dt2D="0" dtr="0" r1="F112"/>
        <v>87.919414038182538</v>
      </c>
    </row>
    <row r="138" spans="1:20">
      <c r="C138" s="1" t="s">
        <v>289</v>
      </c>
      <c r="D138" s="121">
        <v>0.1</v>
      </c>
      <c r="F138" s="2">
        <f t="shared" si="107"/>
        <v>0.60000000000000009</v>
      </c>
      <c r="G138" s="22">
        <v>71.621669850558703</v>
      </c>
    </row>
    <row r="139" spans="1:20">
      <c r="F139" s="2">
        <f t="shared" si="107"/>
        <v>0.70000000000000007</v>
      </c>
      <c r="G139" s="22">
        <v>59.935718944971093</v>
      </c>
    </row>
    <row r="140" spans="1:20">
      <c r="F140" s="2">
        <f t="shared" si="107"/>
        <v>0.8</v>
      </c>
      <c r="G140" s="22">
        <v>51.164674953432964</v>
      </c>
    </row>
    <row r="141" spans="1:20">
      <c r="F141" s="2">
        <f>F142-$D$138</f>
        <v>0.9</v>
      </c>
      <c r="G141" s="22">
        <v>44.352456540295996</v>
      </c>
    </row>
    <row r="142" spans="1:20">
      <c r="E142" s="1" t="s">
        <v>223</v>
      </c>
      <c r="F142" s="121">
        <v>1</v>
      </c>
      <c r="G142" s="22">
        <v>38.919336977212666</v>
      </c>
    </row>
    <row r="143" spans="1:20">
      <c r="F143" s="2">
        <f>F142+$D$138</f>
        <v>1.1000000000000001</v>
      </c>
      <c r="G143" s="22">
        <v>34.49337491910466</v>
      </c>
    </row>
    <row r="144" spans="1:20">
      <c r="F144" s="2">
        <f t="shared" ref="F144:F147" si="108">F143+$D$138</f>
        <v>1.2000000000000002</v>
      </c>
      <c r="G144" s="22">
        <v>30.824997543719697</v>
      </c>
    </row>
    <row r="145" spans="4:16">
      <c r="F145" s="2">
        <f t="shared" si="108"/>
        <v>1.3000000000000003</v>
      </c>
      <c r="G145" s="22">
        <v>27.740517566448162</v>
      </c>
    </row>
    <row r="146" spans="4:16">
      <c r="F146" s="2">
        <f t="shared" si="108"/>
        <v>1.4000000000000004</v>
      </c>
      <c r="G146" s="22">
        <v>25.115341801688754</v>
      </c>
    </row>
    <row r="147" spans="4:16">
      <c r="F147" s="2">
        <f t="shared" si="108"/>
        <v>1.5000000000000004</v>
      </c>
      <c r="G147" s="22">
        <v>22.857780913456843</v>
      </c>
      <c r="N147" s="1" t="s">
        <v>291</v>
      </c>
      <c r="P147" s="163">
        <v>1</v>
      </c>
    </row>
    <row r="149" spans="4:16">
      <c r="E149" s="165" t="s">
        <v>290</v>
      </c>
      <c r="F149" s="165"/>
      <c r="G149" s="165"/>
      <c r="H149" s="165"/>
      <c r="I149" s="165"/>
      <c r="J149" s="165"/>
      <c r="K149" s="165"/>
      <c r="L149" s="165"/>
      <c r="M149" s="165"/>
      <c r="N149" s="165"/>
      <c r="O149" s="165"/>
    </row>
    <row r="150" spans="4:16">
      <c r="E150" s="164">
        <f t="shared" ref="E150:H150" si="109">F150-$P$147</f>
        <v>19.16</v>
      </c>
      <c r="F150" s="164">
        <f t="shared" si="109"/>
        <v>20.16</v>
      </c>
      <c r="G150" s="164">
        <f t="shared" si="109"/>
        <v>21.16</v>
      </c>
      <c r="H150" s="164">
        <f t="shared" si="109"/>
        <v>22.16</v>
      </c>
      <c r="I150" s="164">
        <f>J150-$P$147</f>
        <v>23.16</v>
      </c>
      <c r="J150" s="163">
        <v>24.16</v>
      </c>
      <c r="K150" s="164">
        <f>J150+$P$147</f>
        <v>25.16</v>
      </c>
      <c r="L150" s="164">
        <f t="shared" ref="L150:O150" si="110">K150+$P$147</f>
        <v>26.16</v>
      </c>
      <c r="M150" s="164">
        <f t="shared" si="110"/>
        <v>27.16</v>
      </c>
      <c r="N150" s="164">
        <f t="shared" si="110"/>
        <v>28.16</v>
      </c>
      <c r="O150" s="164">
        <f t="shared" si="110"/>
        <v>29.16</v>
      </c>
    </row>
    <row r="151" spans="4:16">
      <c r="D151" s="22">
        <f>N50</f>
        <v>59.372827536420516</v>
      </c>
      <c r="E151" s="22">
        <f t="dataTable" ref="E151:O151" dt2D="0" dtr="1" r1="N40" ca="1"/>
        <v>48.47744340248925</v>
      </c>
      <c r="F151" s="22">
        <v>50.656520229275507</v>
      </c>
      <c r="G151" s="22">
        <v>52.835597056061751</v>
      </c>
      <c r="H151" s="22">
        <v>55.014673882848001</v>
      </c>
      <c r="I151" s="22">
        <v>57.193750709634259</v>
      </c>
      <c r="J151" s="22">
        <v>59.372827536420516</v>
      </c>
      <c r="K151" s="22">
        <v>61.551904363206745</v>
      </c>
      <c r="L151" s="22">
        <v>63.730981189993003</v>
      </c>
      <c r="M151" s="22">
        <v>65.91005801677926</v>
      </c>
      <c r="N151" s="22">
        <v>68.089134843565517</v>
      </c>
      <c r="O151" s="22">
        <v>70.268211670351775</v>
      </c>
    </row>
    <row r="152" spans="4:16">
      <c r="D152" s="22"/>
      <c r="E152" s="22"/>
      <c r="F152" s="22"/>
      <c r="G152" s="22"/>
      <c r="H152" s="22"/>
      <c r="I152" s="22"/>
      <c r="J152" s="22"/>
      <c r="K152" s="22"/>
      <c r="L152" s="22"/>
      <c r="M152" s="22"/>
      <c r="N152" s="22"/>
      <c r="O152" s="22"/>
    </row>
    <row r="153" spans="4:16">
      <c r="D153" s="22"/>
      <c r="E153" s="22"/>
      <c r="F153" s="22"/>
      <c r="G153" s="22"/>
      <c r="H153" s="22"/>
      <c r="I153" s="22"/>
      <c r="J153" s="22"/>
      <c r="K153" s="22"/>
      <c r="L153" s="22"/>
      <c r="M153" s="22"/>
      <c r="N153" s="22"/>
      <c r="O153" s="22" t="s">
        <v>292</v>
      </c>
      <c r="P153" s="113">
        <v>0.01</v>
      </c>
    </row>
    <row r="154" spans="4:16">
      <c r="O154" s="1" t="s">
        <v>293</v>
      </c>
      <c r="P154" s="113">
        <v>5.0000000000000001E-3</v>
      </c>
    </row>
    <row r="156" spans="4:16">
      <c r="E156" s="165" t="s">
        <v>205</v>
      </c>
      <c r="F156" s="165"/>
      <c r="G156" s="165"/>
      <c r="H156" s="165"/>
      <c r="I156" s="165"/>
      <c r="J156" s="165"/>
      <c r="K156" s="165"/>
      <c r="L156" s="165"/>
      <c r="M156" s="165"/>
      <c r="N156" s="165"/>
      <c r="O156" s="165"/>
    </row>
    <row r="157" spans="4:16">
      <c r="D157" s="22">
        <f>I50</f>
        <v>38.282648589908966</v>
      </c>
      <c r="E157" s="6">
        <f t="shared" ref="E157:H157" si="111">F157-$P$153</f>
        <v>4.7000000000000014E-2</v>
      </c>
      <c r="F157" s="6">
        <f t="shared" si="111"/>
        <v>5.7000000000000016E-2</v>
      </c>
      <c r="G157" s="6">
        <f t="shared" si="111"/>
        <v>6.7000000000000018E-2</v>
      </c>
      <c r="H157" s="6">
        <f t="shared" si="111"/>
        <v>7.7000000000000013E-2</v>
      </c>
      <c r="I157" s="6">
        <f>J157-$P$153</f>
        <v>8.7000000000000008E-2</v>
      </c>
      <c r="J157" s="113">
        <v>9.7000000000000003E-2</v>
      </c>
      <c r="K157" s="6">
        <f>J157+$P$153</f>
        <v>0.107</v>
      </c>
      <c r="L157" s="6">
        <f t="shared" ref="L157:O157" si="112">K157+$P$153</f>
        <v>0.11699999999999999</v>
      </c>
      <c r="M157" s="6">
        <f t="shared" si="112"/>
        <v>0.127</v>
      </c>
      <c r="N157" s="6">
        <f t="shared" si="112"/>
        <v>0.13700000000000001</v>
      </c>
      <c r="O157" s="6">
        <f t="shared" si="112"/>
        <v>0.14700000000000002</v>
      </c>
    </row>
    <row r="158" spans="4:16">
      <c r="D158" s="113">
        <v>5.0000000000000001E-3</v>
      </c>
      <c r="E158" s="22">
        <f t="dataTable" ref="E158:O166" dt2D="1" dtr="1" r1="F115" r2="I40" ca="1"/>
        <v>69.073253537177521</v>
      </c>
      <c r="F158" s="22">
        <v>52.596786320986958</v>
      </c>
      <c r="G158" s="22">
        <v>41.626381135953224</v>
      </c>
      <c r="H158" s="22">
        <v>33.854868082600284</v>
      </c>
      <c r="I158" s="22">
        <v>28.101556827489951</v>
      </c>
      <c r="J158" s="22">
        <v>23.699926757413429</v>
      </c>
      <c r="K158" s="22">
        <v>20.245508635034845</v>
      </c>
      <c r="L158" s="22">
        <v>17.478837061481102</v>
      </c>
      <c r="M158" s="22">
        <v>15.225973297316985</v>
      </c>
      <c r="N158" s="22">
        <v>13.36606805666608</v>
      </c>
      <c r="O158" s="22">
        <v>11.812634182240968</v>
      </c>
    </row>
    <row r="159" spans="4:16">
      <c r="D159" s="6">
        <f>D158+$P$154</f>
        <v>0.01</v>
      </c>
      <c r="E159" s="22">
        <v>77.426887012810511</v>
      </c>
      <c r="F159" s="22">
        <v>57.472862460399554</v>
      </c>
      <c r="G159" s="22">
        <v>44.724515477962207</v>
      </c>
      <c r="H159" s="22">
        <v>35.941750293242457</v>
      </c>
      <c r="I159" s="22">
        <v>29.568712143170913</v>
      </c>
      <c r="J159" s="22">
        <v>24.765736872646759</v>
      </c>
      <c r="K159" s="22">
        <v>21.040104081350183</v>
      </c>
      <c r="L159" s="22">
        <v>18.083852152384058</v>
      </c>
      <c r="M159" s="22">
        <v>15.694771166433156</v>
      </c>
      <c r="N159" s="22">
        <v>13.734726963912642</v>
      </c>
      <c r="O159" s="22">
        <v>12.106241511882278</v>
      </c>
    </row>
    <row r="160" spans="4:16">
      <c r="D160" s="6">
        <f t="shared" ref="D160:D166" si="113">D159+$P$154</f>
        <v>1.4999999999999999E-2</v>
      </c>
      <c r="E160" s="22">
        <v>88.391030949578777</v>
      </c>
      <c r="F160" s="22">
        <v>63.509909109196109</v>
      </c>
      <c r="G160" s="22">
        <v>48.41844488574214</v>
      </c>
      <c r="H160" s="22">
        <v>38.365226408826906</v>
      </c>
      <c r="I160" s="22">
        <v>31.239639030474233</v>
      </c>
      <c r="J160" s="22">
        <v>25.961523831201216</v>
      </c>
      <c r="K160" s="22">
        <v>21.921068597917184</v>
      </c>
      <c r="L160" s="22">
        <v>18.7481824482775</v>
      </c>
      <c r="M160" s="22">
        <v>16.205425988148985</v>
      </c>
      <c r="N160" s="22">
        <v>14.133603814376128</v>
      </c>
      <c r="O160" s="22">
        <v>12.422091821041864</v>
      </c>
    </row>
    <row r="161" spans="2:15">
      <c r="D161" s="6">
        <f t="shared" si="113"/>
        <v>0.02</v>
      </c>
      <c r="E161" s="22">
        <v>103.41596893700198</v>
      </c>
      <c r="F161" s="22">
        <v>71.178589987397132</v>
      </c>
      <c r="G161" s="22">
        <v>52.898316720709303</v>
      </c>
      <c r="H161" s="22">
        <v>41.213873772759527</v>
      </c>
      <c r="I161" s="22">
        <v>33.159957990509398</v>
      </c>
      <c r="J161" s="22">
        <v>27.312607797360162</v>
      </c>
      <c r="K161" s="22">
        <v>22.903293403744769</v>
      </c>
      <c r="L161" s="22">
        <v>19.481000403541405</v>
      </c>
      <c r="M161" s="22">
        <v>16.763805559557884</v>
      </c>
      <c r="N161" s="22">
        <v>14.566572703340775</v>
      </c>
      <c r="O161" s="22">
        <v>12.762812233284881</v>
      </c>
    </row>
    <row r="162" spans="2:15">
      <c r="C162" s="1" t="s">
        <v>294</v>
      </c>
      <c r="D162" s="6">
        <f t="shared" si="113"/>
        <v>2.5000000000000001E-2</v>
      </c>
      <c r="E162" s="22">
        <v>125.27042419143574</v>
      </c>
      <c r="F162" s="22">
        <v>81.24373364003597</v>
      </c>
      <c r="G162" s="22">
        <v>58.444824706859102</v>
      </c>
      <c r="H162" s="22">
        <v>44.610337937448406</v>
      </c>
      <c r="I162" s="22">
        <v>35.390005815066353</v>
      </c>
      <c r="J162" s="22">
        <v>28.851342314374506</v>
      </c>
      <c r="K162" s="22">
        <v>24.005301722478155</v>
      </c>
      <c r="L162" s="22">
        <v>20.293472484377471</v>
      </c>
      <c r="M162" s="22">
        <v>17.376928226202946</v>
      </c>
      <c r="N162" s="22">
        <v>15.038199528820119</v>
      </c>
      <c r="O162" s="22">
        <v>13.131460548170768</v>
      </c>
    </row>
    <row r="163" spans="2:15">
      <c r="D163" s="6">
        <f t="shared" si="113"/>
        <v>3.0000000000000002E-2</v>
      </c>
      <c r="E163" s="22">
        <v>159.98044136024228</v>
      </c>
      <c r="F163" s="22">
        <v>95.036708275133662</v>
      </c>
      <c r="G163" s="22">
        <v>65.490388905481836</v>
      </c>
      <c r="H163" s="22">
        <v>48.729454052071091</v>
      </c>
      <c r="I163" s="22">
        <v>38.011290100071903</v>
      </c>
      <c r="J163" s="22">
        <v>30.619738699599953</v>
      </c>
      <c r="K163" s="22">
        <v>25.250428004683407</v>
      </c>
      <c r="L163" s="22">
        <v>21.199332160711933</v>
      </c>
      <c r="M163" s="22">
        <v>18.053259415182552</v>
      </c>
      <c r="N163" s="22">
        <v>15.553903627708747</v>
      </c>
      <c r="O163" s="22">
        <v>13.531617266038358</v>
      </c>
    </row>
    <row r="164" spans="2:15">
      <c r="D164" s="6">
        <f t="shared" si="113"/>
        <v>3.5000000000000003E-2</v>
      </c>
      <c r="E164" s="22">
        <v>223.61547283638754</v>
      </c>
      <c r="F164" s="22">
        <v>115.09921683527571</v>
      </c>
      <c r="G164" s="22">
        <v>74.737691916174185</v>
      </c>
      <c r="H164" s="22">
        <v>53.82931209874679</v>
      </c>
      <c r="I164" s="22">
        <v>41.13666751680929</v>
      </c>
      <c r="J164" s="22">
        <v>32.67336030824886</v>
      </c>
      <c r="K164" s="22">
        <v>26.668488492750498</v>
      </c>
      <c r="L164" s="22">
        <v>22.215662529282305</v>
      </c>
      <c r="M164" s="22">
        <v>18.803104863833855</v>
      </c>
      <c r="N164" s="22">
        <v>16.120166951978611</v>
      </c>
      <c r="O164" s="22">
        <v>13.967502262286983</v>
      </c>
    </row>
    <row r="165" spans="2:15">
      <c r="D165" s="6">
        <f t="shared" si="113"/>
        <v>0.04</v>
      </c>
      <c r="E165" s="22">
        <v>378.15769213559719</v>
      </c>
      <c r="F165" s="22">
        <v>146.96320101903075</v>
      </c>
      <c r="G165" s="22">
        <v>87.409921967863681</v>
      </c>
      <c r="H165" s="22">
        <v>60.307510158037566</v>
      </c>
      <c r="I165" s="22">
        <v>44.927018852001439</v>
      </c>
      <c r="J165" s="22">
        <v>35.087266409643192</v>
      </c>
      <c r="K165" s="22">
        <v>28.298199799932078</v>
      </c>
      <c r="L165" s="22">
        <v>23.363983854809874</v>
      </c>
      <c r="M165" s="22">
        <v>19.639139444514047</v>
      </c>
      <c r="N165" s="22">
        <v>16.744807938544341</v>
      </c>
      <c r="O165" s="22">
        <v>14.444124174072863</v>
      </c>
    </row>
    <row r="166" spans="2:15">
      <c r="D166" s="6">
        <f t="shared" si="113"/>
        <v>4.4999999999999998E-2</v>
      </c>
      <c r="E166" s="22">
        <v>1305.4110079308487</v>
      </c>
      <c r="F166" s="22">
        <v>205.38050535591486</v>
      </c>
      <c r="G166" s="22">
        <v>105.84225658850293</v>
      </c>
      <c r="H166" s="22">
        <v>68.810145110856652</v>
      </c>
      <c r="I166" s="22">
        <v>49.619834790810756</v>
      </c>
      <c r="J166" s="22">
        <v>37.965385222844112</v>
      </c>
      <c r="K166" s="22">
        <v>30.19076776956231</v>
      </c>
      <c r="L166" s="22">
        <v>24.671794253327374</v>
      </c>
      <c r="M166" s="22">
        <v>20.577129461862544</v>
      </c>
      <c r="N166" s="22">
        <v>17.437344684519388</v>
      </c>
      <c r="O166" s="22">
        <v>14.967473724269119</v>
      </c>
    </row>
    <row r="168" spans="2:15" ht="14.4" thickBot="1"/>
    <row r="169" spans="2:15">
      <c r="B169" s="169" t="s">
        <v>298</v>
      </c>
      <c r="C169" s="169"/>
      <c r="D169" s="174"/>
      <c r="E169" s="174"/>
      <c r="F169" s="174"/>
      <c r="G169" s="174"/>
    </row>
    <row r="170" spans="2:15">
      <c r="B170" s="168"/>
      <c r="C170" s="168"/>
      <c r="D170" s="175" t="s">
        <v>300</v>
      </c>
      <c r="E170" s="175" t="s">
        <v>295</v>
      </c>
      <c r="F170" s="175" t="s">
        <v>296</v>
      </c>
      <c r="G170" s="175" t="s">
        <v>297</v>
      </c>
    </row>
    <row r="171" spans="2:15">
      <c r="B171" s="172" t="s">
        <v>299</v>
      </c>
      <c r="C171" s="172"/>
      <c r="D171" s="170"/>
      <c r="E171" s="170"/>
      <c r="F171" s="170"/>
      <c r="G171" s="170"/>
    </row>
    <row r="172" spans="2:15">
      <c r="B172" s="171" t="s">
        <v>302</v>
      </c>
      <c r="C172" s="171"/>
      <c r="D172" s="166">
        <v>0.3</v>
      </c>
      <c r="E172" s="176">
        <v>0.25</v>
      </c>
      <c r="F172" s="176">
        <v>0.3</v>
      </c>
      <c r="G172" s="176">
        <v>0.35</v>
      </c>
    </row>
    <row r="173" spans="2:15">
      <c r="B173" s="171" t="s">
        <v>303</v>
      </c>
      <c r="C173" s="171"/>
      <c r="D173" s="166">
        <v>-0.05</v>
      </c>
      <c r="E173" s="176">
        <v>-0.06</v>
      </c>
      <c r="F173" s="176">
        <v>-0.05</v>
      </c>
      <c r="G173" s="176">
        <v>-2.5000000000000001E-2</v>
      </c>
    </row>
    <row r="174" spans="2:15">
      <c r="B174" s="171" t="s">
        <v>304</v>
      </c>
      <c r="C174" s="171"/>
      <c r="D174" s="166">
        <v>0.23</v>
      </c>
      <c r="E174" s="176">
        <v>0.25</v>
      </c>
      <c r="F174" s="176">
        <v>0.24</v>
      </c>
      <c r="G174" s="176">
        <v>0.23</v>
      </c>
    </row>
    <row r="175" spans="2:15">
      <c r="B175" s="171" t="s">
        <v>305</v>
      </c>
      <c r="C175" s="171"/>
      <c r="D175" s="166">
        <v>0.15</v>
      </c>
      <c r="E175" s="176">
        <v>0.2</v>
      </c>
      <c r="F175" s="176">
        <v>0.19</v>
      </c>
      <c r="G175" s="176">
        <v>0.15</v>
      </c>
    </row>
    <row r="176" spans="2:15">
      <c r="B176" s="171" t="s">
        <v>306</v>
      </c>
      <c r="C176" s="171"/>
      <c r="D176" s="166">
        <v>0.85</v>
      </c>
      <c r="E176" s="176">
        <v>0.95</v>
      </c>
      <c r="F176" s="176">
        <v>0.9</v>
      </c>
      <c r="G176" s="176">
        <v>0.85</v>
      </c>
    </row>
    <row r="177" spans="2:7">
      <c r="B177" s="171" t="s">
        <v>307</v>
      </c>
      <c r="C177" s="171"/>
      <c r="D177" s="166">
        <v>-0.1</v>
      </c>
      <c r="E177" s="176">
        <v>-0.05</v>
      </c>
      <c r="F177" s="176">
        <v>-0.05</v>
      </c>
      <c r="G177" s="176">
        <v>-0.1</v>
      </c>
    </row>
    <row r="178" spans="2:7">
      <c r="B178" s="171" t="s">
        <v>308</v>
      </c>
      <c r="C178" s="171"/>
      <c r="D178" s="166">
        <v>-0.1</v>
      </c>
      <c r="E178" s="176">
        <v>-0.05</v>
      </c>
      <c r="F178" s="176">
        <v>-0.1</v>
      </c>
      <c r="G178" s="176">
        <v>-0.1</v>
      </c>
    </row>
    <row r="179" spans="2:7">
      <c r="B179" s="171" t="s">
        <v>309</v>
      </c>
      <c r="C179" s="171"/>
      <c r="D179" s="166">
        <v>-0.1</v>
      </c>
      <c r="E179" s="176">
        <v>-0.05</v>
      </c>
      <c r="F179" s="176">
        <v>-0.05</v>
      </c>
      <c r="G179" s="176">
        <v>-0.1</v>
      </c>
    </row>
    <row r="180" spans="2:7">
      <c r="B180" s="171" t="s">
        <v>310</v>
      </c>
      <c r="C180" s="171"/>
      <c r="D180" s="166">
        <v>4.4999999999999998E-2</v>
      </c>
      <c r="E180" s="176">
        <v>0.03</v>
      </c>
      <c r="F180" s="176">
        <v>3.5000000000000003E-2</v>
      </c>
      <c r="G180" s="176">
        <v>4.4999999999999998E-2</v>
      </c>
    </row>
    <row r="181" spans="2:7">
      <c r="B181" s="171" t="s">
        <v>311</v>
      </c>
      <c r="C181" s="171"/>
      <c r="D181" s="167">
        <v>24.16</v>
      </c>
      <c r="E181" s="177">
        <v>20</v>
      </c>
      <c r="F181" s="177">
        <v>22</v>
      </c>
      <c r="G181" s="177">
        <v>24.16</v>
      </c>
    </row>
    <row r="182" spans="2:7">
      <c r="B182" s="171" t="s">
        <v>312</v>
      </c>
      <c r="C182" s="171"/>
      <c r="D182" s="166">
        <v>0.1434</v>
      </c>
      <c r="E182" s="176">
        <v>0.1434</v>
      </c>
      <c r="F182" s="176">
        <v>0.1</v>
      </c>
      <c r="G182" s="176">
        <v>0.03</v>
      </c>
    </row>
    <row r="183" spans="2:7">
      <c r="B183" s="171" t="s">
        <v>313</v>
      </c>
      <c r="C183" s="171"/>
      <c r="D183" s="166">
        <v>5.2999999999999999E-2</v>
      </c>
      <c r="E183" s="176">
        <v>0.06</v>
      </c>
      <c r="F183" s="176">
        <v>5.2999999999999999E-2</v>
      </c>
      <c r="G183" s="176">
        <v>4.4999999999999998E-2</v>
      </c>
    </row>
    <row r="184" spans="2:7">
      <c r="B184" s="172" t="s">
        <v>301</v>
      </c>
      <c r="C184" s="172"/>
      <c r="D184" s="170"/>
      <c r="E184" s="170"/>
      <c r="F184" s="170"/>
      <c r="G184" s="170"/>
    </row>
    <row r="185" spans="2:7">
      <c r="B185" s="171" t="s">
        <v>314</v>
      </c>
      <c r="C185" s="171"/>
      <c r="D185" s="178">
        <v>38.282648589909002</v>
      </c>
      <c r="E185" s="178">
        <v>-0.13972220470806401</v>
      </c>
      <c r="F185" s="178">
        <v>15.6708413003959</v>
      </c>
      <c r="G185" s="178">
        <v>93.401744653045299</v>
      </c>
    </row>
    <row r="186" spans="2:7">
      <c r="B186" s="171" t="s">
        <v>315</v>
      </c>
      <c r="C186" s="171"/>
      <c r="D186" s="178">
        <v>59.194912288288002</v>
      </c>
      <c r="E186" s="178">
        <v>6.1875618880633301</v>
      </c>
      <c r="F186" s="178">
        <v>29.590586739440202</v>
      </c>
      <c r="G186" s="178">
        <v>117.04765271790301</v>
      </c>
    </row>
    <row r="187" spans="2:7" ht="14.4" thickBot="1">
      <c r="B187" s="171" t="s">
        <v>316</v>
      </c>
      <c r="C187" s="173"/>
      <c r="D187" s="179">
        <v>57.923283159450399</v>
      </c>
      <c r="E187" s="179">
        <v>2.8939699539834698</v>
      </c>
      <c r="F187" s="179">
        <v>28.7167862524866</v>
      </c>
      <c r="G187" s="179">
        <v>144.769203760685</v>
      </c>
    </row>
  </sheetData>
  <scenarios current="0" sqref="I50 N50 S43">
    <scenario name="Worst_case" locked="1" count="12" user="David Moore" comment="Created by David Moore on 11/8/2022_x000a_Modified by David Moore on 11/8/2022">
      <inputCells r="K28" val="0.25" numFmtId="165"/>
      <inputCells r="X28" val="-0.06" numFmtId="165"/>
      <inputCells r="W29" val="0.25" numFmtId="165"/>
      <inputCells r="K30" val="0.2" numFmtId="165"/>
      <inputCells r="K31" val="0.95" numFmtId="165"/>
      <inputCells r="W31" val="-0.05" numFmtId="165"/>
      <inputCells r="X31" val="-0.05" numFmtId="165"/>
      <inputCells r="Z31" val="-0.05" numFmtId="165"/>
      <inputCells r="I40" val="0.03" numFmtId="165"/>
      <inputCells r="N40" val="20" numFmtId="167"/>
      <inputCells r="F105" val="0.1434" numFmtId="165"/>
      <inputCells r="F111" val="0.06" numFmtId="165"/>
    </scenario>
    <scenario name="Moderate_case" locked="1" count="12" user="David Moore" comment="Created by David Moore on 11/8/2022">
      <inputCells r="K28" val="0.3" numFmtId="165"/>
      <inputCells r="X28" val="-0.05" numFmtId="165"/>
      <inputCells r="W29" val="0.24" numFmtId="165"/>
      <inputCells r="K30" val="0.19" numFmtId="165"/>
      <inputCells r="K31" val="0.9" numFmtId="165"/>
      <inputCells r="W31" val="-0.05" numFmtId="165"/>
      <inputCells r="X31" val="-0.1" numFmtId="165"/>
      <inputCells r="Z31" val="-0.05" numFmtId="165"/>
      <inputCells r="I40" val="0.035" numFmtId="165"/>
      <inputCells r="N40" val="22" numFmtId="167"/>
      <inputCells r="F105" val="0.1" numFmtId="165"/>
      <inputCells r="F111" val="0.053" numFmtId="165"/>
    </scenario>
    <scenario name="Best_case" locked="1" count="12" user="David Moore" comment="Created by David Moore on 11/8/2022">
      <inputCells r="K28" val="0.35" numFmtId="165"/>
      <inputCells r="X28" val="-0.025" numFmtId="165"/>
      <inputCells r="W29" val="0.23" numFmtId="165"/>
      <inputCells r="K30" val="0.15" numFmtId="165"/>
      <inputCells r="K31" val="0.85" numFmtId="165"/>
      <inputCells r="W31" val="-0.1" numFmtId="165"/>
      <inputCells r="X31" val="-0.1" numFmtId="165"/>
      <inputCells r="Z31" val="-0.1" numFmtId="165"/>
      <inputCells r="I40" val="0.045" numFmtId="165"/>
      <inputCells r="N40" val="24.16" numFmtId="167"/>
      <inputCells r="F105" val="0.03" numFmtId="165"/>
      <inputCells r="F111" val="0.045" numFmtId="165"/>
    </scenario>
  </scenarios>
  <pageMargins left="0.7" right="0.7" top="0.75" bottom="0.75" header="0.3" footer="0.3"/>
  <pageSetup orientation="portrait" verticalDpi="9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C2F57-937C-4BE6-9A07-36B209F6ACD2}">
  <sheetPr codeName="Sheet2"/>
  <dimension ref="B3:P31"/>
  <sheetViews>
    <sheetView zoomScale="115" zoomScaleNormal="115" workbookViewId="0"/>
  </sheetViews>
  <sheetFormatPr defaultRowHeight="13.2"/>
  <cols>
    <col min="1" max="1" width="3.33203125" style="73" customWidth="1"/>
    <col min="2" max="2" width="29.44140625" style="73" bestFit="1" customWidth="1"/>
    <col min="3" max="16384" width="8.88671875" style="73"/>
  </cols>
  <sheetData>
    <row r="3" spans="2:16" ht="13.8">
      <c r="B3" s="69"/>
      <c r="C3" s="70">
        <v>2018</v>
      </c>
      <c r="D3" s="71">
        <f t="shared" ref="D3:F3" si="0">C3+1</f>
        <v>2019</v>
      </c>
      <c r="E3" s="71">
        <f t="shared" si="0"/>
        <v>2020</v>
      </c>
      <c r="F3" s="72">
        <f t="shared" si="0"/>
        <v>2021</v>
      </c>
      <c r="G3" s="71">
        <f t="shared" ref="G3:M3" si="1">F3+1</f>
        <v>2022</v>
      </c>
      <c r="H3" s="71">
        <f t="shared" si="1"/>
        <v>2023</v>
      </c>
      <c r="I3" s="71">
        <f t="shared" si="1"/>
        <v>2024</v>
      </c>
      <c r="J3" s="71">
        <f t="shared" si="1"/>
        <v>2025</v>
      </c>
      <c r="K3" s="71">
        <f t="shared" si="1"/>
        <v>2026</v>
      </c>
      <c r="L3" s="71">
        <f t="shared" si="1"/>
        <v>2027</v>
      </c>
      <c r="M3" s="71">
        <f t="shared" si="1"/>
        <v>2028</v>
      </c>
      <c r="N3" s="71">
        <f t="shared" ref="N3:P3" si="2">M3+1</f>
        <v>2029</v>
      </c>
      <c r="O3" s="71">
        <f t="shared" si="2"/>
        <v>2030</v>
      </c>
      <c r="P3" s="71">
        <f t="shared" si="2"/>
        <v>2031</v>
      </c>
    </row>
    <row r="4" spans="2:16" ht="13.8">
      <c r="B4" s="74" t="s">
        <v>168</v>
      </c>
      <c r="C4" s="75">
        <v>775</v>
      </c>
      <c r="D4" s="75">
        <v>1440</v>
      </c>
      <c r="E4" s="75">
        <v>1800</v>
      </c>
      <c r="F4" s="76">
        <v>2100</v>
      </c>
      <c r="G4" s="77">
        <v>2350</v>
      </c>
      <c r="H4" s="75">
        <f t="shared" ref="H4:M4" si="3">G4*(1+H16)</f>
        <v>2585</v>
      </c>
      <c r="I4" s="75">
        <f t="shared" si="3"/>
        <v>2843.5000000000005</v>
      </c>
      <c r="J4" s="75">
        <f t="shared" si="3"/>
        <v>3070.9800000000005</v>
      </c>
      <c r="K4" s="75">
        <f t="shared" si="3"/>
        <v>3316.6584000000007</v>
      </c>
      <c r="L4" s="75">
        <f t="shared" si="3"/>
        <v>3581.9910720000012</v>
      </c>
      <c r="M4" s="75">
        <f t="shared" si="3"/>
        <v>3725.2707148800014</v>
      </c>
      <c r="N4" s="75">
        <f t="shared" ref="N4:P4" si="4">M4*(1+N16)</f>
        <v>3874.2815434752015</v>
      </c>
      <c r="O4" s="75">
        <f t="shared" si="4"/>
        <v>4029.2528052142097</v>
      </c>
      <c r="P4" s="75">
        <f t="shared" si="4"/>
        <v>4190.4229174227785</v>
      </c>
    </row>
    <row r="5" spans="2:16" ht="13.8">
      <c r="B5" s="74" t="s">
        <v>169</v>
      </c>
      <c r="C5" s="75"/>
      <c r="D5" s="75">
        <f>D4-C4</f>
        <v>665</v>
      </c>
      <c r="E5" s="75">
        <f t="shared" ref="E5:P5" si="5">E4-D4</f>
        <v>360</v>
      </c>
      <c r="F5" s="76">
        <f t="shared" si="5"/>
        <v>300</v>
      </c>
      <c r="G5" s="75">
        <f t="shared" si="5"/>
        <v>250</v>
      </c>
      <c r="H5" s="75">
        <f t="shared" si="5"/>
        <v>235</v>
      </c>
      <c r="I5" s="75">
        <f t="shared" si="5"/>
        <v>258.50000000000045</v>
      </c>
      <c r="J5" s="75">
        <f t="shared" si="5"/>
        <v>227.48000000000002</v>
      </c>
      <c r="K5" s="75">
        <f t="shared" si="5"/>
        <v>245.67840000000024</v>
      </c>
      <c r="L5" s="75">
        <f t="shared" si="5"/>
        <v>265.33267200000046</v>
      </c>
      <c r="M5" s="75">
        <f t="shared" si="5"/>
        <v>143.27964288000021</v>
      </c>
      <c r="N5" s="75">
        <f t="shared" si="5"/>
        <v>149.01082859520011</v>
      </c>
      <c r="O5" s="75">
        <f t="shared" si="5"/>
        <v>154.97126173900824</v>
      </c>
      <c r="P5" s="75">
        <f t="shared" si="5"/>
        <v>161.17011220856875</v>
      </c>
    </row>
    <row r="6" spans="2:16" ht="13.8">
      <c r="B6" s="74" t="s">
        <v>170</v>
      </c>
      <c r="C6" s="75">
        <v>4600</v>
      </c>
      <c r="D6" s="75">
        <v>8400</v>
      </c>
      <c r="E6" s="75">
        <v>10000</v>
      </c>
      <c r="F6" s="76">
        <v>13900</v>
      </c>
      <c r="G6" s="77">
        <v>17500</v>
      </c>
      <c r="H6" s="75">
        <f>G6*(1+H17)</f>
        <v>21875</v>
      </c>
      <c r="I6" s="75">
        <f t="shared" ref="I6:P6" si="6">H6*(1+I17)</f>
        <v>27343.75</v>
      </c>
      <c r="J6" s="75">
        <f t="shared" si="6"/>
        <v>34179.6875</v>
      </c>
      <c r="K6" s="75">
        <f t="shared" si="6"/>
        <v>41015.625</v>
      </c>
      <c r="L6" s="75">
        <f t="shared" si="6"/>
        <v>47167.968749999993</v>
      </c>
      <c r="M6" s="75">
        <f t="shared" si="6"/>
        <v>51884.765624999993</v>
      </c>
      <c r="N6" s="75">
        <f t="shared" si="6"/>
        <v>57073.2421875</v>
      </c>
      <c r="O6" s="75">
        <f t="shared" si="6"/>
        <v>61639.101562500007</v>
      </c>
      <c r="P6" s="75">
        <f t="shared" si="6"/>
        <v>66570.229687500017</v>
      </c>
    </row>
    <row r="7" spans="2:16" ht="13.8">
      <c r="B7" s="74" t="s">
        <v>171</v>
      </c>
      <c r="C7" s="78">
        <f t="shared" ref="C7:F7" si="7">C6/C4</f>
        <v>5.935483870967742</v>
      </c>
      <c r="D7" s="78">
        <f t="shared" si="7"/>
        <v>5.833333333333333</v>
      </c>
      <c r="E7" s="78">
        <f t="shared" si="7"/>
        <v>5.5555555555555554</v>
      </c>
      <c r="F7" s="79">
        <f t="shared" si="7"/>
        <v>6.6190476190476186</v>
      </c>
      <c r="G7" s="78">
        <f t="shared" ref="G7:N7" si="8">G6/G4</f>
        <v>7.4468085106382977</v>
      </c>
      <c r="H7" s="78">
        <f t="shared" si="8"/>
        <v>8.4622823984526114</v>
      </c>
      <c r="I7" s="78">
        <f t="shared" si="8"/>
        <v>9.616229998241602</v>
      </c>
      <c r="J7" s="78">
        <f t="shared" si="8"/>
        <v>11.129895831298152</v>
      </c>
      <c r="K7" s="78">
        <f t="shared" si="8"/>
        <v>12.366550923664612</v>
      </c>
      <c r="L7" s="78">
        <f t="shared" si="8"/>
        <v>13.168086631679907</v>
      </c>
      <c r="M7" s="78">
        <f t="shared" si="8"/>
        <v>13.927783937353746</v>
      </c>
      <c r="N7" s="78">
        <f t="shared" si="8"/>
        <v>14.731309933739542</v>
      </c>
      <c r="O7" s="78">
        <f t="shared" ref="O7:P7" si="9">O6/O4</f>
        <v>15.29789877734491</v>
      </c>
      <c r="P7" s="78">
        <f t="shared" si="9"/>
        <v>15.886279499550485</v>
      </c>
    </row>
    <row r="8" spans="2:16" ht="13.8">
      <c r="B8" s="74" t="s">
        <v>172</v>
      </c>
      <c r="C8" s="78"/>
      <c r="D8" s="78">
        <f t="shared" ref="D8:F8" si="10">D6/C4</f>
        <v>10.838709677419354</v>
      </c>
      <c r="E8" s="78">
        <f t="shared" si="10"/>
        <v>6.9444444444444446</v>
      </c>
      <c r="F8" s="79">
        <f t="shared" si="10"/>
        <v>7.7222222222222223</v>
      </c>
      <c r="G8" s="78">
        <f t="shared" ref="G8:M8" si="11">G6/F4</f>
        <v>8.3333333333333339</v>
      </c>
      <c r="H8" s="78">
        <f t="shared" si="11"/>
        <v>9.3085106382978715</v>
      </c>
      <c r="I8" s="78">
        <f t="shared" si="11"/>
        <v>10.577852998065763</v>
      </c>
      <c r="J8" s="78">
        <f t="shared" si="11"/>
        <v>12.020287497802002</v>
      </c>
      <c r="K8" s="78">
        <f t="shared" si="11"/>
        <v>13.35587499755778</v>
      </c>
      <c r="L8" s="78">
        <f t="shared" si="11"/>
        <v>14.221533562214301</v>
      </c>
      <c r="M8" s="78">
        <f t="shared" si="11"/>
        <v>14.484895294847897</v>
      </c>
      <c r="N8" s="78">
        <f t="shared" ref="N8:P8" si="12">N6/M4</f>
        <v>15.320562331089123</v>
      </c>
      <c r="O8" s="78">
        <f t="shared" si="12"/>
        <v>15.909814728438707</v>
      </c>
      <c r="P8" s="78">
        <f t="shared" si="12"/>
        <v>16.521730679532507</v>
      </c>
    </row>
    <row r="9" spans="2:16" ht="13.8">
      <c r="B9" s="74" t="s">
        <v>173</v>
      </c>
      <c r="C9" s="75">
        <v>400</v>
      </c>
      <c r="D9" s="75">
        <v>640</v>
      </c>
      <c r="E9" s="75">
        <v>800</v>
      </c>
      <c r="F9" s="76">
        <v>975</v>
      </c>
      <c r="G9" s="74">
        <f>F9*(1+G20)</f>
        <v>1170</v>
      </c>
      <c r="H9" s="75"/>
      <c r="I9" s="75"/>
      <c r="J9" s="75"/>
      <c r="K9" s="75"/>
      <c r="L9" s="75"/>
      <c r="M9" s="75"/>
      <c r="N9" s="75"/>
      <c r="O9" s="75"/>
      <c r="P9" s="75"/>
    </row>
    <row r="10" spans="2:16" ht="13.8">
      <c r="B10" s="74" t="s">
        <v>174</v>
      </c>
      <c r="C10" s="75"/>
      <c r="D10" s="75">
        <v>33</v>
      </c>
      <c r="E10" s="75">
        <v>40</v>
      </c>
      <c r="F10" s="76">
        <v>58</v>
      </c>
      <c r="G10" s="80">
        <v>70</v>
      </c>
      <c r="H10" s="75"/>
      <c r="I10" s="75"/>
      <c r="J10" s="75"/>
      <c r="K10" s="75"/>
      <c r="L10" s="75"/>
      <c r="M10" s="75"/>
      <c r="N10" s="75"/>
      <c r="O10" s="75"/>
      <c r="P10" s="75"/>
    </row>
    <row r="11" spans="2:16" ht="13.8">
      <c r="B11" s="74" t="s">
        <v>175</v>
      </c>
      <c r="C11" s="75"/>
      <c r="D11" s="75">
        <f>D9/D10</f>
        <v>19.393939393939394</v>
      </c>
      <c r="E11" s="75">
        <f t="shared" ref="E11:G11" si="13">E9/E10</f>
        <v>20</v>
      </c>
      <c r="F11" s="76">
        <f t="shared" si="13"/>
        <v>16.810344827586206</v>
      </c>
      <c r="G11" s="75">
        <f t="shared" si="13"/>
        <v>16.714285714285715</v>
      </c>
      <c r="H11" s="75"/>
      <c r="I11" s="75"/>
      <c r="J11" s="75"/>
      <c r="K11" s="75"/>
      <c r="L11" s="75"/>
      <c r="M11" s="75"/>
      <c r="N11" s="75"/>
      <c r="O11" s="75"/>
      <c r="P11" s="75"/>
    </row>
    <row r="12" spans="2:16" ht="13.8">
      <c r="B12" s="74" t="s">
        <v>62</v>
      </c>
      <c r="C12" s="75">
        <f>SILK_DCF!G9</f>
        <v>34557</v>
      </c>
      <c r="D12" s="75">
        <f>SILK_DCF!H9</f>
        <v>63354</v>
      </c>
      <c r="E12" s="75">
        <f>SILK_DCF!I9</f>
        <v>75227</v>
      </c>
      <c r="F12" s="76">
        <f>SILK_DCF!J9</f>
        <v>101475</v>
      </c>
      <c r="G12" s="75">
        <f>G13*G6</f>
        <v>131250</v>
      </c>
      <c r="H12" s="75">
        <f t="shared" ref="H12:P12" si="14">H13*H6</f>
        <v>164062.5</v>
      </c>
      <c r="I12" s="75">
        <f t="shared" si="14"/>
        <v>205078.125</v>
      </c>
      <c r="J12" s="75">
        <f t="shared" si="14"/>
        <v>256347.65625</v>
      </c>
      <c r="K12" s="75">
        <f t="shared" si="14"/>
        <v>307617.1875</v>
      </c>
      <c r="L12" s="75">
        <f t="shared" si="14"/>
        <v>353759.76562499994</v>
      </c>
      <c r="M12" s="75">
        <f t="shared" si="14"/>
        <v>389135.74218749994</v>
      </c>
      <c r="N12" s="75">
        <f t="shared" si="14"/>
        <v>428049.31640625</v>
      </c>
      <c r="O12" s="75">
        <f t="shared" si="14"/>
        <v>462293.26171875006</v>
      </c>
      <c r="P12" s="75">
        <f t="shared" si="14"/>
        <v>499276.72265625012</v>
      </c>
    </row>
    <row r="13" spans="2:16" ht="13.8">
      <c r="B13" s="74" t="s">
        <v>176</v>
      </c>
      <c r="C13" s="78">
        <f>C12/C6</f>
        <v>7.5123913043478261</v>
      </c>
      <c r="D13" s="78">
        <f t="shared" ref="D13:F13" si="15">D12/D6</f>
        <v>7.5421428571428573</v>
      </c>
      <c r="E13" s="78">
        <f t="shared" si="15"/>
        <v>7.5227000000000004</v>
      </c>
      <c r="F13" s="79">
        <f t="shared" si="15"/>
        <v>7.3003597122302155</v>
      </c>
      <c r="G13" s="81">
        <v>7.5</v>
      </c>
      <c r="H13" s="81">
        <v>7.5</v>
      </c>
      <c r="I13" s="81">
        <v>7.5</v>
      </c>
      <c r="J13" s="81">
        <v>7.5</v>
      </c>
      <c r="K13" s="81">
        <v>7.5</v>
      </c>
      <c r="L13" s="81">
        <v>7.5</v>
      </c>
      <c r="M13" s="81">
        <v>7.5</v>
      </c>
      <c r="N13" s="81">
        <v>7.5</v>
      </c>
      <c r="O13" s="81">
        <v>7.5</v>
      </c>
      <c r="P13" s="81">
        <v>7.5</v>
      </c>
    </row>
    <row r="14" spans="2:16" ht="13.8">
      <c r="B14" s="74" t="s">
        <v>177</v>
      </c>
      <c r="C14" s="78">
        <f t="shared" ref="C14:F14" si="16">C12/C4</f>
        <v>44.589677419354835</v>
      </c>
      <c r="D14" s="78">
        <f t="shared" si="16"/>
        <v>43.99583333333333</v>
      </c>
      <c r="E14" s="78">
        <f t="shared" si="16"/>
        <v>41.792777777777779</v>
      </c>
      <c r="F14" s="79">
        <f t="shared" si="16"/>
        <v>48.321428571428569</v>
      </c>
      <c r="G14" s="78">
        <f t="shared" ref="G14:M14" si="17">G12/G4</f>
        <v>55.851063829787236</v>
      </c>
      <c r="H14" s="78">
        <f t="shared" si="17"/>
        <v>63.467117988394584</v>
      </c>
      <c r="I14" s="78">
        <f t="shared" si="17"/>
        <v>72.121724986812012</v>
      </c>
      <c r="J14" s="78">
        <f t="shared" si="17"/>
        <v>83.474218734736127</v>
      </c>
      <c r="K14" s="78">
        <f t="shared" si="17"/>
        <v>92.749131927484584</v>
      </c>
      <c r="L14" s="78">
        <f t="shared" si="17"/>
        <v>98.760649737599294</v>
      </c>
      <c r="M14" s="78">
        <f t="shared" si="17"/>
        <v>104.4583795301531</v>
      </c>
      <c r="N14" s="78">
        <f t="shared" ref="N14:O14" si="18">N12/N4</f>
        <v>110.48482450304657</v>
      </c>
      <c r="O14" s="78">
        <f t="shared" si="18"/>
        <v>114.73424083008682</v>
      </c>
      <c r="P14" s="78">
        <f>P12/P4</f>
        <v>119.14709624662864</v>
      </c>
    </row>
    <row r="15" spans="2:16" ht="13.8">
      <c r="B15" s="74"/>
      <c r="C15" s="74"/>
      <c r="D15" s="74"/>
      <c r="E15" s="74"/>
      <c r="F15" s="74"/>
      <c r="G15" s="74"/>
    </row>
    <row r="16" spans="2:16" ht="13.8">
      <c r="B16" s="74" t="s">
        <v>178</v>
      </c>
      <c r="C16" s="74"/>
      <c r="D16" s="82">
        <f>D4/C4-1</f>
        <v>0.85806451612903234</v>
      </c>
      <c r="E16" s="82">
        <f>E4/D4-1</f>
        <v>0.25</v>
      </c>
      <c r="F16" s="82">
        <f>F4/E4-1</f>
        <v>0.16666666666666674</v>
      </c>
      <c r="G16" s="82">
        <f>G4/F4-1</f>
        <v>0.11904761904761907</v>
      </c>
      <c r="H16" s="83">
        <v>0.1</v>
      </c>
      <c r="I16" s="83">
        <v>0.1</v>
      </c>
      <c r="J16" s="83">
        <v>0.08</v>
      </c>
      <c r="K16" s="83">
        <v>0.08</v>
      </c>
      <c r="L16" s="83">
        <v>0.08</v>
      </c>
      <c r="M16" s="83">
        <v>0.04</v>
      </c>
      <c r="N16" s="83">
        <v>0.04</v>
      </c>
      <c r="O16" s="83">
        <v>0.04</v>
      </c>
      <c r="P16" s="83">
        <v>0.04</v>
      </c>
    </row>
    <row r="17" spans="2:16" ht="13.8">
      <c r="B17" s="74" t="s">
        <v>179</v>
      </c>
      <c r="C17" s="74"/>
      <c r="D17" s="82">
        <f>D6/C6-1</f>
        <v>0.82608695652173902</v>
      </c>
      <c r="E17" s="82">
        <f t="shared" ref="E17:O21" si="19">E6/D6-1</f>
        <v>0.19047619047619047</v>
      </c>
      <c r="F17" s="82">
        <f t="shared" si="19"/>
        <v>0.3899999999999999</v>
      </c>
      <c r="G17" s="82">
        <f t="shared" si="19"/>
        <v>0.25899280575539563</v>
      </c>
      <c r="H17" s="83">
        <v>0.25</v>
      </c>
      <c r="I17" s="83">
        <v>0.25</v>
      </c>
      <c r="J17" s="83">
        <v>0.25</v>
      </c>
      <c r="K17" s="83">
        <v>0.2</v>
      </c>
      <c r="L17" s="83">
        <v>0.15</v>
      </c>
      <c r="M17" s="83">
        <v>0.1</v>
      </c>
      <c r="N17" s="83">
        <v>0.1</v>
      </c>
      <c r="O17" s="83">
        <v>0.08</v>
      </c>
      <c r="P17" s="83">
        <v>0.08</v>
      </c>
    </row>
    <row r="18" spans="2:16" ht="13.8">
      <c r="B18" s="74" t="s">
        <v>180</v>
      </c>
      <c r="C18" s="74"/>
      <c r="D18" s="82">
        <f>D7/C7-1</f>
        <v>-1.7210144927536253E-2</v>
      </c>
      <c r="E18" s="82">
        <f t="shared" si="19"/>
        <v>-4.7619047619047561E-2</v>
      </c>
      <c r="F18" s="82">
        <f t="shared" si="19"/>
        <v>0.1914285714285715</v>
      </c>
      <c r="G18" s="82">
        <f t="shared" si="19"/>
        <v>0.12505740088780049</v>
      </c>
      <c r="H18" s="82">
        <f t="shared" si="19"/>
        <v>0.13636363636363646</v>
      </c>
      <c r="I18" s="82">
        <f t="shared" si="19"/>
        <v>0.13636363636363624</v>
      </c>
      <c r="J18" s="82">
        <f t="shared" si="19"/>
        <v>0.15740740740740744</v>
      </c>
      <c r="K18" s="82">
        <f t="shared" si="19"/>
        <v>0.11111111111111094</v>
      </c>
      <c r="L18" s="82">
        <f t="shared" si="19"/>
        <v>6.4814814814814659E-2</v>
      </c>
      <c r="M18" s="82">
        <f t="shared" si="19"/>
        <v>5.7692307692307487E-2</v>
      </c>
      <c r="N18" s="82">
        <f>N7/M7-1</f>
        <v>5.7692307692307931E-2</v>
      </c>
      <c r="O18" s="82">
        <f t="shared" ref="O18:P19" si="20">O7/N7-1</f>
        <v>3.8461538461538547E-2</v>
      </c>
      <c r="P18" s="82">
        <f t="shared" si="20"/>
        <v>3.8461538461538547E-2</v>
      </c>
    </row>
    <row r="19" spans="2:16" ht="13.8">
      <c r="B19" s="74" t="s">
        <v>181</v>
      </c>
      <c r="C19" s="74"/>
      <c r="D19" s="82"/>
      <c r="E19" s="82">
        <f t="shared" si="19"/>
        <v>-0.35929232804232802</v>
      </c>
      <c r="F19" s="82">
        <f t="shared" si="19"/>
        <v>0.11199999999999988</v>
      </c>
      <c r="G19" s="82">
        <f t="shared" si="19"/>
        <v>7.9136690647481966E-2</v>
      </c>
      <c r="H19" s="82">
        <f t="shared" si="19"/>
        <v>0.11702127659574457</v>
      </c>
      <c r="I19" s="82">
        <f t="shared" si="19"/>
        <v>0.13636363636363646</v>
      </c>
      <c r="J19" s="82">
        <f t="shared" si="19"/>
        <v>0.13636363636363624</v>
      </c>
      <c r="K19" s="82">
        <f t="shared" si="19"/>
        <v>0.11111111111111116</v>
      </c>
      <c r="L19" s="82">
        <f t="shared" si="19"/>
        <v>6.4814814814814659E-2</v>
      </c>
      <c r="M19" s="82">
        <f t="shared" si="19"/>
        <v>1.8518518518518379E-2</v>
      </c>
      <c r="N19" s="82">
        <f t="shared" si="19"/>
        <v>5.7692307692307709E-2</v>
      </c>
      <c r="O19" s="82">
        <f t="shared" si="19"/>
        <v>3.8461538461538547E-2</v>
      </c>
      <c r="P19" s="82">
        <f t="shared" si="20"/>
        <v>3.8461538461538547E-2</v>
      </c>
    </row>
    <row r="20" spans="2:16" ht="13.8">
      <c r="B20" s="74" t="s">
        <v>182</v>
      </c>
      <c r="C20" s="74"/>
      <c r="D20" s="82">
        <f>D9/C9-1</f>
        <v>0.60000000000000009</v>
      </c>
      <c r="E20" s="82">
        <f t="shared" si="19"/>
        <v>0.25</v>
      </c>
      <c r="F20" s="82">
        <f t="shared" si="19"/>
        <v>0.21875</v>
      </c>
      <c r="G20" s="83">
        <v>0.2</v>
      </c>
    </row>
    <row r="21" spans="2:16" ht="13.8">
      <c r="B21" s="74" t="s">
        <v>183</v>
      </c>
      <c r="C21" s="74"/>
      <c r="D21" s="74"/>
      <c r="E21" s="82">
        <f t="shared" si="19"/>
        <v>0.21212121212121215</v>
      </c>
      <c r="F21" s="82">
        <f t="shared" si="19"/>
        <v>0.44999999999999996</v>
      </c>
      <c r="G21" s="82">
        <f t="shared" si="19"/>
        <v>0.2068965517241379</v>
      </c>
    </row>
    <row r="22" spans="2:16" ht="13.8">
      <c r="B22" s="74"/>
      <c r="C22" s="74"/>
      <c r="D22" s="74"/>
      <c r="E22" s="74"/>
      <c r="F22" s="74"/>
      <c r="G22" s="74"/>
    </row>
    <row r="23" spans="2:16" ht="13.8">
      <c r="B23" s="74" t="s">
        <v>184</v>
      </c>
      <c r="C23" s="84"/>
      <c r="D23" s="74"/>
      <c r="E23" s="74"/>
      <c r="F23" s="74"/>
      <c r="G23" s="74"/>
    </row>
    <row r="24" spans="2:16" ht="13.8">
      <c r="B24" s="74" t="s">
        <v>185</v>
      </c>
      <c r="C24" s="84">
        <v>3503</v>
      </c>
      <c r="D24" s="74"/>
      <c r="E24" s="74"/>
      <c r="F24" s="74"/>
      <c r="G24" s="74"/>
    </row>
    <row r="25" spans="2:16" ht="13.8">
      <c r="B25" s="74" t="s">
        <v>186</v>
      </c>
      <c r="C25" s="82">
        <f>F4/C24</f>
        <v>0.59948615472452182</v>
      </c>
      <c r="D25" s="74"/>
      <c r="E25" s="74"/>
      <c r="F25" s="74"/>
      <c r="G25" s="74"/>
    </row>
    <row r="26" spans="2:16" ht="13.8">
      <c r="B26" s="74" t="s">
        <v>187</v>
      </c>
      <c r="C26" s="84">
        <v>170000</v>
      </c>
      <c r="D26" s="74"/>
      <c r="E26" s="74"/>
      <c r="F26" s="74"/>
      <c r="G26" s="74"/>
    </row>
    <row r="27" spans="2:16" ht="13.8">
      <c r="B27" s="74" t="s">
        <v>249</v>
      </c>
      <c r="C27" s="82">
        <f>P6/C26</f>
        <v>0.39158958639705893</v>
      </c>
    </row>
    <row r="28" spans="2:16" ht="13.8">
      <c r="B28" s="74" t="s">
        <v>188</v>
      </c>
      <c r="C28" s="73">
        <v>160</v>
      </c>
    </row>
    <row r="29" spans="2:16" ht="13.8">
      <c r="B29" s="85"/>
    </row>
    <row r="30" spans="2:16" ht="13.8">
      <c r="B30" s="85" t="s">
        <v>189</v>
      </c>
    </row>
    <row r="31" spans="2:16" ht="13.8">
      <c r="B31" s="74" t="s">
        <v>190</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56C2-EC2D-4F9E-9AE6-0550EC7B1B2A}">
  <sheetPr codeName="Sheet6"/>
  <dimension ref="B2:L44"/>
  <sheetViews>
    <sheetView workbookViewId="0">
      <selection activeCell="E30" sqref="E30"/>
    </sheetView>
  </sheetViews>
  <sheetFormatPr defaultColWidth="10.21875" defaultRowHeight="13.2"/>
  <cols>
    <col min="1" max="1" width="3.21875" style="73" customWidth="1"/>
    <col min="2" max="2" width="13.21875" style="73" customWidth="1"/>
    <col min="3" max="3" width="19.21875" style="73" customWidth="1"/>
    <col min="4" max="16384" width="10.21875" style="73"/>
  </cols>
  <sheetData>
    <row r="2" spans="2:8" s="134" customFormat="1" ht="17.399999999999999">
      <c r="B2" s="133" t="s">
        <v>250</v>
      </c>
      <c r="C2" s="133"/>
    </row>
    <row r="3" spans="2:8">
      <c r="B3" s="135" t="s">
        <v>251</v>
      </c>
      <c r="C3" s="135"/>
      <c r="E3" s="136">
        <f ca="1">SILK_DCF!S43</f>
        <v>57.923283159450428</v>
      </c>
    </row>
    <row r="4" spans="2:8">
      <c r="B4" s="135" t="s">
        <v>252</v>
      </c>
      <c r="C4" s="135"/>
      <c r="E4" s="137">
        <v>20.45</v>
      </c>
    </row>
    <row r="5" spans="2:8">
      <c r="B5" s="135" t="s">
        <v>253</v>
      </c>
      <c r="C5" s="135"/>
      <c r="E5" s="138">
        <v>6.7</v>
      </c>
    </row>
    <row r="6" spans="2:8">
      <c r="B6" s="135" t="s">
        <v>254</v>
      </c>
      <c r="C6" s="135"/>
      <c r="E6" s="139">
        <v>0.504</v>
      </c>
      <c r="F6" s="135" t="s">
        <v>255</v>
      </c>
    </row>
    <row r="7" spans="2:8">
      <c r="B7" s="135" t="s">
        <v>256</v>
      </c>
      <c r="C7" s="135"/>
      <c r="E7" s="140">
        <v>0</v>
      </c>
    </row>
    <row r="8" spans="2:8">
      <c r="B8" s="135" t="s">
        <v>257</v>
      </c>
      <c r="C8" s="135"/>
      <c r="E8" s="140">
        <v>4.0239999999999998E-2</v>
      </c>
    </row>
    <row r="9" spans="2:8">
      <c r="B9" s="135" t="s">
        <v>258</v>
      </c>
      <c r="C9" s="135"/>
      <c r="E9" s="162">
        <f>SILK_DCF!I81</f>
        <v>3780.9389999999999</v>
      </c>
    </row>
    <row r="10" spans="2:8">
      <c r="B10" s="135" t="s">
        <v>259</v>
      </c>
      <c r="C10" s="135"/>
      <c r="E10" s="162">
        <f>SILK_DCF!S41</f>
        <v>35540.409999999996</v>
      </c>
    </row>
    <row r="11" spans="2:8">
      <c r="B11" s="135"/>
      <c r="C11" s="135"/>
      <c r="E11" s="141"/>
    </row>
    <row r="12" spans="2:8">
      <c r="B12" s="135" t="s">
        <v>260</v>
      </c>
      <c r="C12" s="142" t="s">
        <v>261</v>
      </c>
      <c r="E12" s="141"/>
    </row>
    <row r="13" spans="2:8">
      <c r="B13" s="135"/>
      <c r="C13" s="135"/>
    </row>
    <row r="14" spans="2:8" s="145" customFormat="1" ht="13.8">
      <c r="B14" s="143" t="s">
        <v>262</v>
      </c>
      <c r="C14" s="144"/>
    </row>
    <row r="15" spans="2:8" s="135" customFormat="1">
      <c r="B15" s="146" t="s">
        <v>263</v>
      </c>
    </row>
    <row r="16" spans="2:8" s="135" customFormat="1">
      <c r="B16" s="135" t="s">
        <v>264</v>
      </c>
      <c r="D16" s="147">
        <f ca="1">E3</f>
        <v>57.923283159450428</v>
      </c>
      <c r="E16" s="135" t="s">
        <v>265</v>
      </c>
      <c r="G16" s="142">
        <f>E9</f>
        <v>3780.9389999999999</v>
      </c>
      <c r="H16" s="148"/>
    </row>
    <row r="17" spans="2:8" s="135" customFormat="1">
      <c r="B17" s="135" t="s">
        <v>266</v>
      </c>
      <c r="D17" s="147">
        <f>E4</f>
        <v>20.45</v>
      </c>
      <c r="E17" s="135" t="s">
        <v>267</v>
      </c>
      <c r="G17" s="149">
        <f>E10</f>
        <v>35540.409999999996</v>
      </c>
      <c r="H17" s="148"/>
    </row>
    <row r="18" spans="2:8" s="135" customFormat="1">
      <c r="B18" s="135" t="s">
        <v>268</v>
      </c>
      <c r="D18" s="147">
        <f ca="1">(D16*G17+D29*G16)/(G17+G16)</f>
        <v>56.570408717876944</v>
      </c>
      <c r="E18" s="135" t="s">
        <v>269</v>
      </c>
      <c r="G18" s="150">
        <f>E8</f>
        <v>4.0239999999999998E-2</v>
      </c>
    </row>
    <row r="19" spans="2:8" s="135" customFormat="1">
      <c r="B19" s="135" t="s">
        <v>270</v>
      </c>
      <c r="D19" s="147">
        <f>D17</f>
        <v>20.45</v>
      </c>
      <c r="E19" s="135" t="s">
        <v>271</v>
      </c>
      <c r="G19" s="151">
        <f>E6^2</f>
        <v>0.25401600000000002</v>
      </c>
    </row>
    <row r="20" spans="2:8" s="135" customFormat="1">
      <c r="B20" s="135" t="s">
        <v>272</v>
      </c>
      <c r="D20" s="147">
        <f>E5</f>
        <v>6.7</v>
      </c>
      <c r="E20" s="135" t="s">
        <v>273</v>
      </c>
      <c r="G20" s="150">
        <f>E7</f>
        <v>0</v>
      </c>
    </row>
    <row r="21" spans="2:8" s="135" customFormat="1">
      <c r="D21" s="146"/>
      <c r="E21" s="135" t="s">
        <v>274</v>
      </c>
      <c r="G21" s="152">
        <f>G18-G20</f>
        <v>4.0239999999999998E-2</v>
      </c>
    </row>
    <row r="22" spans="2:8" s="135" customFormat="1"/>
    <row r="23" spans="2:8" s="135" customFormat="1">
      <c r="B23" s="135" t="s">
        <v>275</v>
      </c>
      <c r="C23" s="142">
        <f ca="1">(LN(D18/D19)+(G21+(G19/2))*D20)/(((G19)^(0.5))*(D20^0.5))</f>
        <v>1.6389017387752951</v>
      </c>
    </row>
    <row r="24" spans="2:8" s="135" customFormat="1">
      <c r="B24" s="135" t="s">
        <v>276</v>
      </c>
      <c r="C24" s="142">
        <f ca="1">NORMSDIST(C23)</f>
        <v>0.94938313722288448</v>
      </c>
    </row>
    <row r="25" spans="2:8" s="135" customFormat="1"/>
    <row r="26" spans="2:8" s="135" customFormat="1">
      <c r="B26" s="135" t="s">
        <v>277</v>
      </c>
      <c r="C26" s="142">
        <f ca="1">C23-((G19^0.5)*(D20^(0.5)))</f>
        <v>0.33433008493638083</v>
      </c>
    </row>
    <row r="27" spans="2:8" s="135" customFormat="1">
      <c r="B27" s="135" t="s">
        <v>278</v>
      </c>
      <c r="C27" s="142">
        <f ca="1">NORMSDIST(C26)</f>
        <v>0.63093475461081383</v>
      </c>
    </row>
    <row r="28" spans="2:8" ht="13.8" thickBot="1">
      <c r="B28" s="135"/>
      <c r="C28" s="135"/>
    </row>
    <row r="29" spans="2:8" s="135" customFormat="1" ht="13.8" thickBot="1">
      <c r="B29" s="135" t="s">
        <v>279</v>
      </c>
      <c r="D29" s="153">
        <f ca="1">IF(C12="OFF",((EXP((0-G20)*D20))*D18*C24-D19*(EXP((0-G18)*D20))*C27),0)</f>
        <v>43.853538032567613</v>
      </c>
      <c r="H29" s="154"/>
    </row>
    <row r="30" spans="2:8" s="135" customFormat="1" ht="13.8" thickBot="1">
      <c r="B30" s="135" t="s">
        <v>280</v>
      </c>
      <c r="E30" s="155">
        <f ca="1">D29*E9</f>
        <v>165807.55223531814</v>
      </c>
    </row>
    <row r="34" spans="2:12">
      <c r="B34" s="73" t="s">
        <v>286</v>
      </c>
      <c r="C34" s="73" t="s">
        <v>287</v>
      </c>
    </row>
    <row r="35" spans="2:12">
      <c r="B35" s="159">
        <v>868256</v>
      </c>
      <c r="C35" s="73">
        <v>2.0499999999999998</v>
      </c>
      <c r="D35" s="160">
        <f>B35/$B$40</f>
        <v>0.26829574283339358</v>
      </c>
    </row>
    <row r="36" spans="2:12">
      <c r="B36" s="159">
        <v>577759</v>
      </c>
      <c r="C36" s="73">
        <v>5.74</v>
      </c>
      <c r="D36" s="160">
        <f t="shared" ref="D36:D39" si="0">B36/$B$40</f>
        <v>0.17853061779438167</v>
      </c>
    </row>
    <row r="37" spans="2:12">
      <c r="B37" s="159">
        <v>490391</v>
      </c>
      <c r="C37" s="73">
        <v>11.74</v>
      </c>
      <c r="D37" s="160">
        <f t="shared" si="0"/>
        <v>0.15153343901316055</v>
      </c>
    </row>
    <row r="38" spans="2:12">
      <c r="B38" s="159">
        <v>616871</v>
      </c>
      <c r="C38" s="73">
        <v>20</v>
      </c>
      <c r="D38" s="160">
        <f t="shared" si="0"/>
        <v>0.19061643475815696</v>
      </c>
    </row>
    <row r="39" spans="2:12">
      <c r="B39" s="159">
        <v>682913</v>
      </c>
      <c r="C39" s="73">
        <v>33.6</v>
      </c>
      <c r="D39" s="160">
        <f t="shared" si="0"/>
        <v>0.21102376560090724</v>
      </c>
      <c r="E39" s="159"/>
      <c r="L39" s="159"/>
    </row>
    <row r="40" spans="2:12">
      <c r="B40" s="159">
        <f>SUM(B35:B39)</f>
        <v>3236190</v>
      </c>
      <c r="C40" s="73">
        <f>SUMPRODUCT(C35:C39,D35:D39)</f>
        <v>14.256501812316335</v>
      </c>
      <c r="E40" s="159"/>
      <c r="L40" s="159"/>
    </row>
    <row r="41" spans="2:12">
      <c r="B41" s="159"/>
      <c r="E41" s="159"/>
      <c r="L41" s="159"/>
    </row>
    <row r="42" spans="2:12">
      <c r="E42" s="159"/>
      <c r="L42" s="159"/>
    </row>
    <row r="43" spans="2:12">
      <c r="E43" s="159"/>
      <c r="L43" s="159"/>
    </row>
    <row r="44" spans="2:12">
      <c r="E44" s="159"/>
      <c r="L44" s="159"/>
    </row>
  </sheetData>
  <dataValidations count="1">
    <dataValidation type="list" allowBlank="1" showInputMessage="1" showErrorMessage="1" sqref="C12" xr:uid="{F4C952EE-1C24-4E24-A960-045FB3BDFF5E}">
      <formula1>"ON,OFF"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004EA-4733-4D36-9F57-5CE7FD51AB35}">
  <sheetPr codeName="Sheet3"/>
  <dimension ref="A4:G39"/>
  <sheetViews>
    <sheetView workbookViewId="0">
      <selection activeCell="A38" sqref="A38"/>
    </sheetView>
  </sheetViews>
  <sheetFormatPr defaultRowHeight="13.2"/>
  <cols>
    <col min="1" max="1" width="50" style="40" customWidth="1"/>
    <col min="2" max="196" width="12" style="40" customWidth="1"/>
    <col min="197" max="16384" width="8.88671875" style="40"/>
  </cols>
  <sheetData>
    <row r="4" spans="1:7">
      <c r="A4" s="39" t="s">
        <v>43</v>
      </c>
    </row>
    <row r="5" spans="1:7" ht="21">
      <c r="A5" s="41" t="s">
        <v>44</v>
      </c>
    </row>
    <row r="7" spans="1:7">
      <c r="A7" s="42" t="s">
        <v>45</v>
      </c>
    </row>
    <row r="10" spans="1:7">
      <c r="A10" s="43" t="s">
        <v>46</v>
      </c>
      <c r="B10" s="40">
        <f>YEAR(B11)</f>
        <v>2021</v>
      </c>
      <c r="C10" s="40">
        <f t="shared" ref="C10:F10" si="0">YEAR(C11)</f>
        <v>2020</v>
      </c>
      <c r="D10" s="40">
        <f t="shared" si="0"/>
        <v>2019</v>
      </c>
      <c r="E10" s="40">
        <f t="shared" si="0"/>
        <v>2018</v>
      </c>
      <c r="F10" s="40">
        <f t="shared" si="0"/>
        <v>2017</v>
      </c>
    </row>
    <row r="11" spans="1:7">
      <c r="A11" s="44" t="s">
        <v>47</v>
      </c>
      <c r="B11" s="45" t="s">
        <v>48</v>
      </c>
      <c r="C11" s="45" t="s">
        <v>49</v>
      </c>
      <c r="D11" s="45" t="s">
        <v>50</v>
      </c>
      <c r="E11" s="45" t="s">
        <v>51</v>
      </c>
      <c r="F11" s="45" t="s">
        <v>52</v>
      </c>
      <c r="G11" s="44"/>
    </row>
    <row r="12" spans="1:7">
      <c r="A12" s="44" t="s">
        <v>53</v>
      </c>
      <c r="B12" s="45" t="s">
        <v>54</v>
      </c>
      <c r="C12" s="45" t="s">
        <v>54</v>
      </c>
      <c r="D12" s="45" t="s">
        <v>54</v>
      </c>
      <c r="E12" s="45" t="s">
        <v>54</v>
      </c>
      <c r="F12" s="45" t="s">
        <v>54</v>
      </c>
      <c r="G12" s="44"/>
    </row>
    <row r="13" spans="1:7" ht="26.4">
      <c r="A13" s="44" t="s">
        <v>55</v>
      </c>
      <c r="B13" s="45" t="s">
        <v>56</v>
      </c>
      <c r="C13" s="45" t="s">
        <v>56</v>
      </c>
      <c r="D13" s="45" t="s">
        <v>56</v>
      </c>
      <c r="E13" s="45" t="s">
        <v>56</v>
      </c>
      <c r="F13" s="45" t="s">
        <v>56</v>
      </c>
      <c r="G13" s="44"/>
    </row>
    <row r="14" spans="1:7">
      <c r="A14" s="44" t="s">
        <v>57</v>
      </c>
      <c r="B14" s="45" t="s">
        <v>58</v>
      </c>
      <c r="C14" s="45" t="s">
        <v>58</v>
      </c>
      <c r="D14" s="45" t="s">
        <v>58</v>
      </c>
      <c r="E14" s="45" t="s">
        <v>59</v>
      </c>
      <c r="F14" s="45" t="s">
        <v>59</v>
      </c>
      <c r="G14" s="44"/>
    </row>
    <row r="15" spans="1:7">
      <c r="A15" s="44" t="s">
        <v>60</v>
      </c>
      <c r="B15" s="45" t="s">
        <v>61</v>
      </c>
      <c r="C15" s="45" t="s">
        <v>61</v>
      </c>
      <c r="D15" s="45" t="s">
        <v>61</v>
      </c>
      <c r="E15" s="45" t="s">
        <v>61</v>
      </c>
      <c r="F15" s="45" t="s">
        <v>61</v>
      </c>
      <c r="G15" s="44"/>
    </row>
    <row r="16" spans="1:7">
      <c r="A16" s="46" t="s">
        <v>62</v>
      </c>
      <c r="B16" s="47">
        <v>101475</v>
      </c>
      <c r="C16" s="47">
        <v>75227</v>
      </c>
      <c r="D16" s="47">
        <v>63354</v>
      </c>
      <c r="E16" s="47">
        <v>34557</v>
      </c>
      <c r="F16" s="47">
        <v>14258</v>
      </c>
      <c r="G16" s="46"/>
    </row>
    <row r="17" spans="1:7">
      <c r="A17" s="46" t="s">
        <v>63</v>
      </c>
      <c r="B17" s="47">
        <v>25446</v>
      </c>
      <c r="C17" s="47">
        <v>21291</v>
      </c>
      <c r="D17" s="47">
        <v>15927</v>
      </c>
      <c r="E17" s="47">
        <v>10874</v>
      </c>
      <c r="F17" s="47">
        <v>5129</v>
      </c>
      <c r="G17" s="46"/>
    </row>
    <row r="18" spans="1:7">
      <c r="A18" s="46" t="s">
        <v>64</v>
      </c>
      <c r="B18" s="47">
        <v>76029</v>
      </c>
      <c r="C18" s="47">
        <v>53936</v>
      </c>
      <c r="D18" s="47">
        <v>47427</v>
      </c>
      <c r="E18" s="47">
        <v>23683</v>
      </c>
      <c r="F18" s="47">
        <v>9129</v>
      </c>
      <c r="G18" s="46"/>
    </row>
    <row r="19" spans="1:7">
      <c r="A19" s="46" t="s">
        <v>65</v>
      </c>
      <c r="B19" s="47">
        <v>27110</v>
      </c>
      <c r="C19" s="47">
        <v>21271</v>
      </c>
      <c r="D19" s="47">
        <v>12272</v>
      </c>
      <c r="E19" s="47">
        <v>10258</v>
      </c>
      <c r="F19" s="47">
        <v>7242</v>
      </c>
      <c r="G19" s="46"/>
    </row>
    <row r="20" spans="1:7">
      <c r="A20" s="46" t="s">
        <v>66</v>
      </c>
      <c r="B20" s="47">
        <v>96387</v>
      </c>
      <c r="C20" s="47">
        <v>75524</v>
      </c>
      <c r="D20" s="47">
        <v>63220</v>
      </c>
      <c r="E20" s="47">
        <v>34820</v>
      </c>
      <c r="F20" s="47">
        <v>20261</v>
      </c>
      <c r="G20" s="46"/>
    </row>
    <row r="21" spans="1:7">
      <c r="A21" s="46" t="s">
        <v>67</v>
      </c>
      <c r="B21" s="47">
        <v>123497</v>
      </c>
      <c r="C21" s="47">
        <v>96795</v>
      </c>
      <c r="D21" s="47">
        <v>75492</v>
      </c>
      <c r="E21" s="47">
        <v>45078</v>
      </c>
      <c r="F21" s="47">
        <v>27503</v>
      </c>
      <c r="G21" s="46"/>
    </row>
    <row r="22" spans="1:7">
      <c r="A22" s="46" t="s">
        <v>68</v>
      </c>
      <c r="B22" s="47">
        <v>-47468</v>
      </c>
      <c r="C22" s="47">
        <v>-42859</v>
      </c>
      <c r="D22" s="47">
        <v>-28065</v>
      </c>
      <c r="E22" s="47">
        <v>-21395</v>
      </c>
      <c r="F22" s="47">
        <v>-18374</v>
      </c>
      <c r="G22" s="46"/>
    </row>
    <row r="23" spans="1:7">
      <c r="A23" s="46" t="s">
        <v>69</v>
      </c>
      <c r="B23" s="47">
        <v>198</v>
      </c>
      <c r="C23" s="47">
        <v>1104</v>
      </c>
      <c r="D23" s="47">
        <v>1656</v>
      </c>
      <c r="E23" s="47">
        <v>189</v>
      </c>
      <c r="F23" s="47">
        <v>34</v>
      </c>
      <c r="G23" s="46"/>
    </row>
    <row r="24" spans="1:7">
      <c r="A24" s="46" t="s">
        <v>70</v>
      </c>
      <c r="B24" s="47">
        <v>2518</v>
      </c>
      <c r="C24" s="47">
        <v>4411</v>
      </c>
      <c r="D24" s="47">
        <v>4952</v>
      </c>
      <c r="E24" s="47">
        <v>4361</v>
      </c>
      <c r="F24" s="47">
        <v>3943</v>
      </c>
      <c r="G24" s="46"/>
    </row>
    <row r="25" spans="1:7">
      <c r="A25" s="46" t="s">
        <v>71</v>
      </c>
      <c r="B25" s="48" t="s">
        <v>72</v>
      </c>
      <c r="C25" s="47">
        <v>-1119</v>
      </c>
      <c r="D25" s="48" t="s">
        <v>72</v>
      </c>
      <c r="E25" s="48" t="s">
        <v>72</v>
      </c>
      <c r="F25" s="48" t="s">
        <v>72</v>
      </c>
      <c r="G25" s="46"/>
    </row>
    <row r="26" spans="1:7">
      <c r="A26" s="46" t="s">
        <v>73</v>
      </c>
      <c r="B26" s="47">
        <v>-23</v>
      </c>
      <c r="C26" s="47">
        <v>-80</v>
      </c>
      <c r="D26" s="47">
        <v>-21054</v>
      </c>
      <c r="E26" s="47">
        <v>-12063</v>
      </c>
      <c r="F26" s="47">
        <v>2927</v>
      </c>
      <c r="G26" s="46"/>
    </row>
    <row r="27" spans="1:7">
      <c r="A27" s="46" t="s">
        <v>74</v>
      </c>
      <c r="B27" s="47">
        <v>-49811</v>
      </c>
      <c r="C27" s="47">
        <v>-47365</v>
      </c>
      <c r="D27" s="47">
        <v>-52415</v>
      </c>
      <c r="E27" s="47">
        <v>-37630</v>
      </c>
      <c r="F27" s="47">
        <v>-19356</v>
      </c>
      <c r="G27" s="46"/>
    </row>
    <row r="28" spans="1:7">
      <c r="A28" s="46" t="s">
        <v>75</v>
      </c>
      <c r="B28" s="48" t="s">
        <v>72</v>
      </c>
      <c r="C28" s="48" t="s">
        <v>72</v>
      </c>
      <c r="D28" s="48" t="s">
        <v>72</v>
      </c>
      <c r="E28" s="47">
        <v>1</v>
      </c>
      <c r="F28" s="48" t="s">
        <v>72</v>
      </c>
      <c r="G28" s="46"/>
    </row>
    <row r="29" spans="1:7">
      <c r="A29" s="46" t="s">
        <v>76</v>
      </c>
      <c r="B29" s="48" t="s">
        <v>72</v>
      </c>
      <c r="C29" s="47">
        <v>-47365</v>
      </c>
      <c r="D29" s="47">
        <v>-52415</v>
      </c>
      <c r="E29" s="47">
        <v>-37629</v>
      </c>
      <c r="F29" s="47">
        <v>-19356</v>
      </c>
      <c r="G29" s="46"/>
    </row>
    <row r="30" spans="1:7">
      <c r="A30" s="46" t="s">
        <v>77</v>
      </c>
      <c r="B30" s="49">
        <v>34635.358</v>
      </c>
      <c r="C30" s="49">
        <v>32965.538999999997</v>
      </c>
      <c r="D30" s="49">
        <v>22956.679</v>
      </c>
      <c r="E30" s="49">
        <v>960.88199999999995</v>
      </c>
      <c r="F30" s="49">
        <v>434.15800000000002</v>
      </c>
      <c r="G30" s="46"/>
    </row>
    <row r="31" spans="1:7">
      <c r="A31" s="46" t="s">
        <v>78</v>
      </c>
      <c r="B31" s="49">
        <v>34635.358</v>
      </c>
      <c r="C31" s="49">
        <v>32965.538999999997</v>
      </c>
      <c r="D31" s="49">
        <v>22956.679</v>
      </c>
      <c r="E31" s="49">
        <v>960.88199999999995</v>
      </c>
      <c r="F31" s="49">
        <v>434.15800000000002</v>
      </c>
      <c r="G31" s="46"/>
    </row>
    <row r="32" spans="1:7">
      <c r="A32" s="46" t="s">
        <v>79</v>
      </c>
      <c r="B32" s="49">
        <v>34980.896000000001</v>
      </c>
      <c r="C32" s="49">
        <v>34249.648999999998</v>
      </c>
      <c r="D32" s="49">
        <v>31255.267</v>
      </c>
      <c r="E32" s="50">
        <v>1135.31</v>
      </c>
      <c r="F32" s="50">
        <v>663.27</v>
      </c>
      <c r="G32" s="46"/>
    </row>
    <row r="33" spans="1:7">
      <c r="A33" s="46" t="s">
        <v>80</v>
      </c>
      <c r="B33" s="50">
        <v>-1.44</v>
      </c>
      <c r="C33" s="50">
        <v>-1.44</v>
      </c>
      <c r="D33" s="50">
        <v>-2.2799999999999998</v>
      </c>
      <c r="E33" s="50">
        <v>-39.159999999999997</v>
      </c>
      <c r="F33" s="50">
        <v>-44.58</v>
      </c>
      <c r="G33" s="46"/>
    </row>
    <row r="34" spans="1:7">
      <c r="A34" s="46" t="s">
        <v>81</v>
      </c>
      <c r="B34" s="50">
        <v>-1.44</v>
      </c>
      <c r="C34" s="50">
        <v>-1.44</v>
      </c>
      <c r="D34" s="50">
        <v>-2.2799999999999998</v>
      </c>
      <c r="E34" s="50">
        <v>-39.159999999999997</v>
      </c>
      <c r="F34" s="50">
        <v>-44.58</v>
      </c>
      <c r="G34" s="46"/>
    </row>
    <row r="35" spans="1:7">
      <c r="A35" s="46" t="s">
        <v>82</v>
      </c>
      <c r="B35" s="47">
        <v>352</v>
      </c>
      <c r="C35" s="47">
        <v>281</v>
      </c>
      <c r="D35" s="47">
        <v>224</v>
      </c>
      <c r="E35" s="47">
        <v>176</v>
      </c>
      <c r="F35" s="48" t="s">
        <v>72</v>
      </c>
      <c r="G35" s="46"/>
    </row>
    <row r="36" spans="1:7">
      <c r="A36" s="46" t="s">
        <v>83</v>
      </c>
      <c r="B36" s="47">
        <v>62</v>
      </c>
      <c r="C36" s="47">
        <v>72</v>
      </c>
      <c r="D36" s="47">
        <v>91</v>
      </c>
      <c r="E36" s="47">
        <v>67</v>
      </c>
      <c r="F36" s="48" t="s">
        <v>72</v>
      </c>
      <c r="G36" s="46"/>
    </row>
    <row r="38" spans="1:7" ht="13.8">
      <c r="A38" s="1" t="s">
        <v>36</v>
      </c>
      <c r="B38" s="47">
        <f>SILK_CFS!B17</f>
        <v>1032</v>
      </c>
      <c r="C38" s="47">
        <f>SILK_CFS!C17</f>
        <v>789</v>
      </c>
      <c r="D38" s="47">
        <f>SILK_CFS!D17</f>
        <v>712</v>
      </c>
      <c r="E38" s="47">
        <f>SILK_CFS!E17</f>
        <v>517</v>
      </c>
      <c r="F38" s="47">
        <f>SILK_CFS!F17</f>
        <v>129</v>
      </c>
    </row>
    <row r="39" spans="1:7" ht="13.8">
      <c r="A39" s="1" t="s">
        <v>35</v>
      </c>
      <c r="B39" s="47">
        <f>SILK_CFS!B37</f>
        <v>-4758</v>
      </c>
      <c r="C39" s="47">
        <f>SILK_CFS!C37</f>
        <v>-842</v>
      </c>
      <c r="D39" s="47">
        <f>SILK_CFS!D37</f>
        <v>-535</v>
      </c>
      <c r="E39" s="47">
        <f>SILK_CFS!E37</f>
        <v>-2276</v>
      </c>
      <c r="F39" s="47">
        <f>SILK_CFS!F37</f>
        <v>-443</v>
      </c>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B3FA0-06D0-4AFC-B865-2481C624DF1C}">
  <sheetPr codeName="Sheet4"/>
  <dimension ref="A4:G62"/>
  <sheetViews>
    <sheetView topLeftCell="A32" workbookViewId="0">
      <selection activeCell="B62" sqref="B62"/>
    </sheetView>
  </sheetViews>
  <sheetFormatPr defaultRowHeight="13.2"/>
  <cols>
    <col min="1" max="1" width="30" style="40" customWidth="1"/>
    <col min="2" max="16384" width="8.88671875" style="40"/>
  </cols>
  <sheetData>
    <row r="4" spans="1:7">
      <c r="A4" s="39" t="s">
        <v>43</v>
      </c>
    </row>
    <row r="5" spans="1:7" ht="21">
      <c r="A5" s="41" t="s">
        <v>44</v>
      </c>
    </row>
    <row r="7" spans="1:7" ht="26.4">
      <c r="A7" s="42" t="s">
        <v>45</v>
      </c>
    </row>
    <row r="10" spans="1:7" ht="26.4">
      <c r="A10" s="43" t="s">
        <v>84</v>
      </c>
      <c r="B10" s="40">
        <f>YEAR(B11)</f>
        <v>2021</v>
      </c>
      <c r="C10" s="40">
        <f t="shared" ref="C10:F10" si="0">YEAR(C11)</f>
        <v>2020</v>
      </c>
      <c r="D10" s="40">
        <f t="shared" si="0"/>
        <v>2019</v>
      </c>
      <c r="E10" s="40">
        <f t="shared" si="0"/>
        <v>2018</v>
      </c>
      <c r="F10" s="40">
        <f t="shared" si="0"/>
        <v>2017</v>
      </c>
    </row>
    <row r="11" spans="1:7" ht="26.4">
      <c r="A11" s="44" t="s">
        <v>47</v>
      </c>
      <c r="B11" s="45" t="s">
        <v>48</v>
      </c>
      <c r="C11" s="45" t="s">
        <v>49</v>
      </c>
      <c r="D11" s="45" t="s">
        <v>50</v>
      </c>
      <c r="E11" s="45" t="s">
        <v>51</v>
      </c>
      <c r="F11" s="45" t="s">
        <v>52</v>
      </c>
      <c r="G11" s="44"/>
    </row>
    <row r="12" spans="1:7">
      <c r="A12" s="44" t="s">
        <v>53</v>
      </c>
      <c r="B12" s="45" t="s">
        <v>54</v>
      </c>
      <c r="C12" s="45" t="s">
        <v>54</v>
      </c>
      <c r="D12" s="45" t="s">
        <v>54</v>
      </c>
      <c r="E12" s="45" t="s">
        <v>54</v>
      </c>
      <c r="F12" s="45" t="s">
        <v>54</v>
      </c>
      <c r="G12" s="44"/>
    </row>
    <row r="13" spans="1:7" ht="26.4">
      <c r="A13" s="44" t="s">
        <v>55</v>
      </c>
      <c r="B13" s="45" t="s">
        <v>56</v>
      </c>
      <c r="C13" s="45" t="s">
        <v>56</v>
      </c>
      <c r="D13" s="45" t="s">
        <v>56</v>
      </c>
      <c r="E13" s="45" t="s">
        <v>56</v>
      </c>
      <c r="F13" s="45" t="s">
        <v>56</v>
      </c>
      <c r="G13" s="44"/>
    </row>
    <row r="14" spans="1:7">
      <c r="A14" s="44" t="s">
        <v>57</v>
      </c>
      <c r="B14" s="45" t="s">
        <v>58</v>
      </c>
      <c r="C14" s="45" t="s">
        <v>58</v>
      </c>
      <c r="D14" s="45" t="s">
        <v>58</v>
      </c>
      <c r="E14" s="45" t="s">
        <v>59</v>
      </c>
      <c r="F14" s="45" t="s">
        <v>59</v>
      </c>
      <c r="G14" s="44"/>
    </row>
    <row r="15" spans="1:7" ht="26.4">
      <c r="A15" s="44" t="s">
        <v>60</v>
      </c>
      <c r="B15" s="45" t="s">
        <v>61</v>
      </c>
      <c r="C15" s="45" t="s">
        <v>61</v>
      </c>
      <c r="D15" s="45" t="s">
        <v>61</v>
      </c>
      <c r="E15" s="45" t="s">
        <v>61</v>
      </c>
      <c r="F15" s="45" t="s">
        <v>61</v>
      </c>
      <c r="G15" s="44"/>
    </row>
    <row r="16" spans="1:7">
      <c r="A16" s="46" t="s">
        <v>13</v>
      </c>
      <c r="B16" s="47">
        <v>110231</v>
      </c>
      <c r="C16" s="47">
        <v>69466</v>
      </c>
      <c r="D16" s="47">
        <v>39181</v>
      </c>
      <c r="E16" s="47">
        <v>24990</v>
      </c>
      <c r="F16" s="47">
        <v>33331</v>
      </c>
      <c r="G16" s="46"/>
    </row>
    <row r="17" spans="1:7">
      <c r="A17" s="46" t="s">
        <v>12</v>
      </c>
      <c r="B17" s="48"/>
      <c r="C17" s="47">
        <v>78016</v>
      </c>
      <c r="D17" s="47">
        <v>51508</v>
      </c>
      <c r="E17" s="48"/>
      <c r="F17" s="48"/>
      <c r="G17" s="46"/>
    </row>
    <row r="18" spans="1:7">
      <c r="A18" s="46" t="s">
        <v>85</v>
      </c>
      <c r="B18" s="47">
        <v>11838</v>
      </c>
      <c r="C18" s="47">
        <v>9083</v>
      </c>
      <c r="D18" s="47">
        <v>8646</v>
      </c>
      <c r="E18" s="47">
        <v>6405</v>
      </c>
      <c r="F18" s="47">
        <v>5826</v>
      </c>
      <c r="G18" s="46"/>
    </row>
    <row r="19" spans="1:7">
      <c r="A19" s="46" t="s">
        <v>86</v>
      </c>
      <c r="B19" s="47">
        <v>6</v>
      </c>
      <c r="C19" s="47">
        <v>13</v>
      </c>
      <c r="D19" s="47">
        <v>45</v>
      </c>
      <c r="E19" s="47">
        <v>1885</v>
      </c>
      <c r="F19" s="47">
        <v>611</v>
      </c>
      <c r="G19" s="46"/>
    </row>
    <row r="20" spans="1:7">
      <c r="A20" s="46" t="s">
        <v>87</v>
      </c>
      <c r="B20" s="47">
        <v>11832</v>
      </c>
      <c r="C20" s="47">
        <v>9070</v>
      </c>
      <c r="D20" s="47">
        <v>8601</v>
      </c>
      <c r="E20" s="47">
        <v>4520</v>
      </c>
      <c r="F20" s="47">
        <v>5215</v>
      </c>
      <c r="G20" s="46"/>
    </row>
    <row r="21" spans="1:7">
      <c r="A21" s="46" t="s">
        <v>88</v>
      </c>
      <c r="B21" s="47">
        <v>2447</v>
      </c>
      <c r="C21" s="47">
        <v>1785</v>
      </c>
      <c r="D21" s="47">
        <v>1203</v>
      </c>
      <c r="E21" s="47">
        <v>1054</v>
      </c>
      <c r="F21" s="47">
        <v>506</v>
      </c>
      <c r="G21" s="46"/>
    </row>
    <row r="22" spans="1:7">
      <c r="A22" s="46" t="s">
        <v>89</v>
      </c>
      <c r="B22" s="47">
        <v>15437</v>
      </c>
      <c r="C22" s="47">
        <v>10599</v>
      </c>
      <c r="D22" s="47">
        <v>9119</v>
      </c>
      <c r="E22" s="47">
        <v>4690</v>
      </c>
      <c r="F22" s="47">
        <v>2742</v>
      </c>
      <c r="G22" s="46"/>
    </row>
    <row r="23" spans="1:7">
      <c r="A23" s="46" t="s">
        <v>90</v>
      </c>
      <c r="B23" s="47">
        <v>33</v>
      </c>
      <c r="C23" s="47">
        <v>2395</v>
      </c>
      <c r="D23" s="48" t="s">
        <v>72</v>
      </c>
      <c r="E23" s="48" t="s">
        <v>72</v>
      </c>
      <c r="F23" s="48" t="s">
        <v>72</v>
      </c>
      <c r="G23" s="46"/>
    </row>
    <row r="24" spans="1:7">
      <c r="A24" s="46" t="s">
        <v>91</v>
      </c>
      <c r="B24" s="47">
        <v>17851</v>
      </c>
      <c r="C24" s="47">
        <v>9989</v>
      </c>
      <c r="D24" s="47">
        <v>10322</v>
      </c>
      <c r="E24" s="47">
        <v>5744</v>
      </c>
      <c r="F24" s="47">
        <v>3248</v>
      </c>
      <c r="G24" s="46"/>
    </row>
    <row r="25" spans="1:7">
      <c r="A25" s="46" t="s">
        <v>92</v>
      </c>
      <c r="B25" s="47">
        <v>3412</v>
      </c>
      <c r="C25" s="47">
        <v>6787</v>
      </c>
      <c r="D25" s="47">
        <v>2878</v>
      </c>
      <c r="E25" s="47">
        <v>1408</v>
      </c>
      <c r="F25" s="47">
        <v>279</v>
      </c>
      <c r="G25" s="46"/>
    </row>
    <row r="26" spans="1:7">
      <c r="A26" s="46" t="s">
        <v>14</v>
      </c>
      <c r="B26" s="47">
        <v>143326</v>
      </c>
      <c r="C26" s="47">
        <v>173328</v>
      </c>
      <c r="D26" s="47">
        <v>112490</v>
      </c>
      <c r="E26" s="47">
        <v>36662</v>
      </c>
      <c r="F26" s="47">
        <v>42073</v>
      </c>
      <c r="G26" s="46"/>
    </row>
    <row r="27" spans="1:7">
      <c r="A27" s="46" t="s">
        <v>93</v>
      </c>
      <c r="B27" s="48" t="s">
        <v>72</v>
      </c>
      <c r="C27" s="48" t="s">
        <v>72</v>
      </c>
      <c r="D27" s="47">
        <v>18224</v>
      </c>
      <c r="E27" s="48" t="s">
        <v>72</v>
      </c>
      <c r="F27" s="48" t="s">
        <v>72</v>
      </c>
      <c r="G27" s="46"/>
    </row>
    <row r="28" spans="1:7">
      <c r="A28" s="46" t="s">
        <v>94</v>
      </c>
      <c r="B28" s="47">
        <v>1005</v>
      </c>
      <c r="C28" s="47">
        <v>726</v>
      </c>
      <c r="D28" s="47">
        <v>657</v>
      </c>
      <c r="E28" s="47">
        <v>517</v>
      </c>
      <c r="F28" s="47">
        <v>76</v>
      </c>
      <c r="G28" s="46"/>
    </row>
    <row r="29" spans="1:7">
      <c r="A29" s="46" t="s">
        <v>95</v>
      </c>
      <c r="B29" s="47">
        <v>2945</v>
      </c>
      <c r="C29" s="47">
        <v>1699</v>
      </c>
      <c r="D29" s="47">
        <v>1295</v>
      </c>
      <c r="E29" s="47">
        <v>1217</v>
      </c>
      <c r="F29" s="47">
        <v>1059</v>
      </c>
      <c r="G29" s="46"/>
    </row>
    <row r="30" spans="1:7">
      <c r="A30" s="46" t="s">
        <v>96</v>
      </c>
      <c r="B30" s="47">
        <v>284</v>
      </c>
      <c r="C30" s="47">
        <v>226</v>
      </c>
      <c r="D30" s="47">
        <v>18</v>
      </c>
      <c r="E30" s="47">
        <v>76</v>
      </c>
      <c r="F30" s="47">
        <v>405</v>
      </c>
      <c r="G30" s="46"/>
    </row>
    <row r="31" spans="1:7">
      <c r="A31" s="46" t="s">
        <v>97</v>
      </c>
      <c r="B31" s="47">
        <v>2050</v>
      </c>
      <c r="C31" s="47">
        <v>2043</v>
      </c>
      <c r="D31" s="47">
        <v>1991</v>
      </c>
      <c r="E31" s="47">
        <v>1978</v>
      </c>
      <c r="F31" s="47">
        <v>189</v>
      </c>
      <c r="G31" s="46"/>
    </row>
    <row r="32" spans="1:7">
      <c r="A32" s="46" t="s">
        <v>98</v>
      </c>
      <c r="B32" s="47">
        <v>6284</v>
      </c>
      <c r="C32" s="47">
        <v>4694</v>
      </c>
      <c r="D32" s="47">
        <v>3961</v>
      </c>
      <c r="E32" s="47">
        <v>3788</v>
      </c>
      <c r="F32" s="47">
        <v>1729</v>
      </c>
      <c r="G32" s="46"/>
    </row>
    <row r="33" spans="1:7">
      <c r="A33" s="46" t="s">
        <v>99</v>
      </c>
      <c r="B33" s="47">
        <v>3330</v>
      </c>
      <c r="C33" s="47">
        <v>2332</v>
      </c>
      <c r="D33" s="47">
        <v>1550</v>
      </c>
      <c r="E33" s="47">
        <v>946</v>
      </c>
      <c r="F33" s="47">
        <v>1303</v>
      </c>
      <c r="G33" s="46"/>
    </row>
    <row r="34" spans="1:7">
      <c r="A34" s="46" t="s">
        <v>100</v>
      </c>
      <c r="B34" s="47">
        <v>4743</v>
      </c>
      <c r="C34" s="47">
        <v>482</v>
      </c>
      <c r="D34" s="47">
        <v>323</v>
      </c>
      <c r="E34" s="47">
        <v>38</v>
      </c>
      <c r="F34" s="47">
        <v>60</v>
      </c>
      <c r="G34" s="46"/>
    </row>
    <row r="35" spans="1:7">
      <c r="A35" s="46" t="s">
        <v>101</v>
      </c>
      <c r="B35" s="47">
        <v>7697</v>
      </c>
      <c r="C35" s="47">
        <v>2844</v>
      </c>
      <c r="D35" s="47">
        <v>2734</v>
      </c>
      <c r="E35" s="47">
        <v>2880</v>
      </c>
      <c r="F35" s="47">
        <v>486</v>
      </c>
      <c r="G35" s="46"/>
    </row>
    <row r="36" spans="1:7">
      <c r="A36" s="46" t="s">
        <v>102</v>
      </c>
      <c r="B36" s="47">
        <v>232</v>
      </c>
      <c r="C36" s="47">
        <v>310</v>
      </c>
      <c r="D36" s="47">
        <v>310</v>
      </c>
      <c r="E36" s="47">
        <v>310</v>
      </c>
      <c r="F36" s="47">
        <v>510</v>
      </c>
      <c r="G36" s="46"/>
    </row>
    <row r="37" spans="1:7">
      <c r="A37" s="46" t="s">
        <v>103</v>
      </c>
      <c r="B37" s="47">
        <v>5370</v>
      </c>
      <c r="C37" s="47">
        <v>2832</v>
      </c>
      <c r="D37" s="47">
        <v>3644</v>
      </c>
      <c r="E37" s="47">
        <v>1029</v>
      </c>
      <c r="F37" s="47">
        <v>17</v>
      </c>
      <c r="G37" s="46"/>
    </row>
    <row r="38" spans="1:7">
      <c r="A38" s="46" t="s">
        <v>104</v>
      </c>
      <c r="B38" s="47">
        <v>156625</v>
      </c>
      <c r="C38" s="47">
        <v>179314</v>
      </c>
      <c r="D38" s="47">
        <v>137402</v>
      </c>
      <c r="E38" s="47">
        <v>40881</v>
      </c>
      <c r="F38" s="47">
        <v>43086</v>
      </c>
      <c r="G38" s="46"/>
    </row>
    <row r="39" spans="1:7">
      <c r="A39" s="46" t="s">
        <v>105</v>
      </c>
      <c r="B39" s="47">
        <v>2379</v>
      </c>
      <c r="C39" s="47">
        <v>2598</v>
      </c>
      <c r="D39" s="47">
        <v>1898</v>
      </c>
      <c r="E39" s="47">
        <v>1252</v>
      </c>
      <c r="F39" s="47">
        <v>1546</v>
      </c>
      <c r="G39" s="46"/>
    </row>
    <row r="40" spans="1:7">
      <c r="A40" s="46" t="s">
        <v>106</v>
      </c>
      <c r="B40" s="47">
        <v>13898</v>
      </c>
      <c r="C40" s="47">
        <v>9573</v>
      </c>
      <c r="D40" s="47">
        <v>9151</v>
      </c>
      <c r="E40" s="47">
        <v>5157</v>
      </c>
      <c r="F40" s="47">
        <v>2718</v>
      </c>
      <c r="G40" s="46"/>
    </row>
    <row r="41" spans="1:7">
      <c r="A41" s="46" t="s">
        <v>107</v>
      </c>
      <c r="B41" s="47">
        <v>359</v>
      </c>
      <c r="C41" s="47">
        <v>820</v>
      </c>
      <c r="D41" s="47">
        <v>2419</v>
      </c>
      <c r="E41" s="48" t="s">
        <v>72</v>
      </c>
      <c r="F41" s="48" t="s">
        <v>72</v>
      </c>
      <c r="G41" s="46"/>
    </row>
    <row r="42" spans="1:7">
      <c r="A42" s="46" t="s">
        <v>108</v>
      </c>
      <c r="B42" s="47">
        <v>2039</v>
      </c>
      <c r="C42" s="47">
        <v>2520</v>
      </c>
      <c r="D42" s="47">
        <v>682</v>
      </c>
      <c r="E42" s="47">
        <v>1014</v>
      </c>
      <c r="F42" s="47">
        <v>64</v>
      </c>
      <c r="G42" s="46"/>
    </row>
    <row r="43" spans="1:7">
      <c r="A43" s="46" t="s">
        <v>109</v>
      </c>
      <c r="B43" s="47">
        <v>11</v>
      </c>
      <c r="C43" s="47">
        <v>1696</v>
      </c>
      <c r="D43" s="48" t="s">
        <v>72</v>
      </c>
      <c r="E43" s="48" t="s">
        <v>72</v>
      </c>
      <c r="F43" s="48" t="s">
        <v>72</v>
      </c>
      <c r="G43" s="46"/>
    </row>
    <row r="44" spans="1:7">
      <c r="A44" s="46" t="s">
        <v>110</v>
      </c>
      <c r="B44" s="47">
        <v>1294</v>
      </c>
      <c r="C44" s="47">
        <v>850</v>
      </c>
      <c r="D44" s="47">
        <v>769</v>
      </c>
      <c r="E44" s="48"/>
      <c r="F44" s="48"/>
      <c r="G44" s="46"/>
    </row>
    <row r="45" spans="1:7">
      <c r="A45" s="46" t="s">
        <v>111</v>
      </c>
      <c r="B45" s="47">
        <v>687</v>
      </c>
      <c r="C45" s="47">
        <v>518</v>
      </c>
      <c r="D45" s="47">
        <v>470</v>
      </c>
      <c r="E45" s="47">
        <v>313</v>
      </c>
      <c r="F45" s="48" t="s">
        <v>72</v>
      </c>
      <c r="G45" s="46"/>
    </row>
    <row r="46" spans="1:7">
      <c r="A46" s="46" t="s">
        <v>112</v>
      </c>
      <c r="B46" s="47">
        <v>157</v>
      </c>
      <c r="C46" s="47">
        <v>206</v>
      </c>
      <c r="D46" s="47">
        <v>304</v>
      </c>
      <c r="E46" s="48" t="s">
        <v>72</v>
      </c>
      <c r="F46" s="48" t="s">
        <v>72</v>
      </c>
      <c r="G46" s="46"/>
    </row>
    <row r="47" spans="1:7">
      <c r="A47" s="46" t="s">
        <v>113</v>
      </c>
      <c r="B47" s="47">
        <v>590</v>
      </c>
      <c r="C47" s="47">
        <v>237</v>
      </c>
      <c r="D47" s="47">
        <v>431</v>
      </c>
      <c r="E47" s="47">
        <v>270</v>
      </c>
      <c r="F47" s="47">
        <v>68</v>
      </c>
      <c r="G47" s="46"/>
    </row>
    <row r="48" spans="1:7">
      <c r="A48" s="46" t="s">
        <v>114</v>
      </c>
      <c r="B48" s="47">
        <v>99</v>
      </c>
      <c r="C48" s="47">
        <v>113</v>
      </c>
      <c r="D48" s="47">
        <v>241</v>
      </c>
      <c r="E48" s="47">
        <v>244</v>
      </c>
      <c r="F48" s="47">
        <v>183</v>
      </c>
      <c r="G48" s="46"/>
    </row>
    <row r="49" spans="1:7">
      <c r="A49" s="46" t="s">
        <v>115</v>
      </c>
      <c r="B49" s="47">
        <v>668</v>
      </c>
      <c r="C49" s="47">
        <v>424</v>
      </c>
      <c r="D49" s="47">
        <v>567</v>
      </c>
      <c r="E49" s="47">
        <v>588</v>
      </c>
      <c r="F49" s="47">
        <v>76</v>
      </c>
      <c r="G49" s="46"/>
    </row>
    <row r="50" spans="1:7">
      <c r="A50" s="46" t="s">
        <v>116</v>
      </c>
      <c r="B50" s="47">
        <v>19802</v>
      </c>
      <c r="C50" s="47">
        <v>16957</v>
      </c>
      <c r="D50" s="47">
        <v>15034</v>
      </c>
      <c r="E50" s="47">
        <v>7586</v>
      </c>
      <c r="F50" s="47">
        <v>3109</v>
      </c>
      <c r="G50" s="46"/>
    </row>
    <row r="51" spans="1:7">
      <c r="A51" s="46" t="s">
        <v>117</v>
      </c>
      <c r="B51" s="47">
        <v>3905</v>
      </c>
      <c r="C51" s="48" t="s">
        <v>72</v>
      </c>
      <c r="D51" s="48" t="s">
        <v>72</v>
      </c>
      <c r="E51" s="48" t="s">
        <v>72</v>
      </c>
      <c r="F51" s="48" t="s">
        <v>72</v>
      </c>
      <c r="G51" s="46"/>
    </row>
    <row r="52" spans="1:7">
      <c r="A52" s="46" t="s">
        <v>10</v>
      </c>
      <c r="B52" s="47">
        <v>26086</v>
      </c>
      <c r="C52" s="47">
        <v>19555</v>
      </c>
      <c r="D52" s="47">
        <v>16932</v>
      </c>
      <c r="E52" s="47">
        <v>8838</v>
      </c>
      <c r="F52" s="47">
        <v>4655</v>
      </c>
      <c r="G52" s="46"/>
    </row>
    <row r="53" spans="1:7">
      <c r="A53" s="46" t="s">
        <v>118</v>
      </c>
      <c r="B53" s="47">
        <v>44786</v>
      </c>
      <c r="C53" s="47">
        <v>48533</v>
      </c>
      <c r="D53" s="47">
        <v>44879</v>
      </c>
      <c r="E53" s="47">
        <v>44201</v>
      </c>
      <c r="F53" s="47">
        <v>27589</v>
      </c>
      <c r="G53" s="46"/>
    </row>
    <row r="54" spans="1:7">
      <c r="A54" s="46" t="s">
        <v>119</v>
      </c>
      <c r="B54" s="48" t="s">
        <v>72</v>
      </c>
      <c r="C54" s="48" t="s">
        <v>72</v>
      </c>
      <c r="D54" s="48" t="s">
        <v>72</v>
      </c>
      <c r="E54" s="47">
        <v>16091</v>
      </c>
      <c r="F54" s="47">
        <v>4185</v>
      </c>
      <c r="G54" s="46"/>
    </row>
    <row r="55" spans="1:7">
      <c r="A55" s="46" t="s">
        <v>120</v>
      </c>
      <c r="B55" s="47">
        <v>6513</v>
      </c>
      <c r="C55" s="47">
        <v>3726</v>
      </c>
      <c r="D55" s="47">
        <v>3700</v>
      </c>
      <c r="E55" s="47">
        <v>1069</v>
      </c>
      <c r="F55" s="48" t="s">
        <v>72</v>
      </c>
      <c r="G55" s="46"/>
    </row>
    <row r="56" spans="1:7">
      <c r="A56" s="46" t="s">
        <v>121</v>
      </c>
      <c r="B56" s="47">
        <v>77385</v>
      </c>
      <c r="C56" s="47">
        <v>71814</v>
      </c>
      <c r="D56" s="47">
        <v>65511</v>
      </c>
      <c r="E56" s="47">
        <v>70199</v>
      </c>
      <c r="F56" s="47">
        <v>36429</v>
      </c>
      <c r="G56" s="46"/>
    </row>
    <row r="57" spans="1:7">
      <c r="A57" s="46" t="s">
        <v>122</v>
      </c>
      <c r="B57" s="48" t="s">
        <v>72</v>
      </c>
      <c r="C57" s="48" t="s">
        <v>72</v>
      </c>
      <c r="D57" s="48" t="s">
        <v>72</v>
      </c>
      <c r="E57" s="47">
        <v>105235</v>
      </c>
      <c r="F57" s="47">
        <v>105235</v>
      </c>
      <c r="G57" s="46"/>
    </row>
    <row r="58" spans="1:7">
      <c r="A58" s="46" t="s">
        <v>123</v>
      </c>
      <c r="B58" s="47">
        <v>35</v>
      </c>
      <c r="C58" s="47">
        <v>34</v>
      </c>
      <c r="D58" s="47">
        <v>31</v>
      </c>
      <c r="E58" s="47">
        <v>1</v>
      </c>
      <c r="F58" s="47">
        <v>1</v>
      </c>
      <c r="G58" s="46"/>
    </row>
    <row r="59" spans="1:7">
      <c r="A59" s="46" t="s">
        <v>124</v>
      </c>
      <c r="B59" s="47">
        <v>367907</v>
      </c>
      <c r="C59" s="47">
        <v>346318</v>
      </c>
      <c r="D59" s="47">
        <v>263384</v>
      </c>
      <c r="E59" s="47">
        <v>4557</v>
      </c>
      <c r="F59" s="47">
        <v>2977</v>
      </c>
      <c r="G59" s="46"/>
    </row>
    <row r="60" spans="1:7">
      <c r="A60" s="46" t="s">
        <v>125</v>
      </c>
      <c r="B60" s="48" t="s">
        <v>72</v>
      </c>
      <c r="C60" s="47">
        <v>39</v>
      </c>
      <c r="D60" s="47">
        <v>2</v>
      </c>
      <c r="E60" s="48" t="s">
        <v>72</v>
      </c>
      <c r="F60" s="48" t="s">
        <v>72</v>
      </c>
      <c r="G60" s="46"/>
    </row>
    <row r="61" spans="1:7">
      <c r="A61" s="46" t="s">
        <v>126</v>
      </c>
      <c r="B61" s="47">
        <v>-288702</v>
      </c>
      <c r="C61" s="47">
        <v>-238891</v>
      </c>
      <c r="D61" s="47">
        <v>-191526</v>
      </c>
      <c r="E61" s="47">
        <v>-139111</v>
      </c>
      <c r="F61" s="47">
        <v>-101556</v>
      </c>
      <c r="G61" s="46"/>
    </row>
    <row r="62" spans="1:7">
      <c r="A62" s="46" t="s">
        <v>127</v>
      </c>
      <c r="B62" s="47">
        <v>79240</v>
      </c>
      <c r="C62" s="47">
        <v>107500</v>
      </c>
      <c r="D62" s="47">
        <v>71891</v>
      </c>
      <c r="E62" s="47">
        <v>-134553</v>
      </c>
      <c r="F62" s="47">
        <v>-98578</v>
      </c>
      <c r="G62" s="46"/>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3882D-C114-4D88-930F-E25172E73D93}">
  <sheetPr codeName="Sheet5"/>
  <dimension ref="A4:G56"/>
  <sheetViews>
    <sheetView topLeftCell="A4" workbookViewId="0">
      <selection activeCell="B39" sqref="B39"/>
    </sheetView>
  </sheetViews>
  <sheetFormatPr defaultRowHeight="13.2"/>
  <cols>
    <col min="1" max="1" width="50" style="40" customWidth="1"/>
    <col min="2" max="196" width="12" style="40" customWidth="1"/>
    <col min="197" max="16384" width="8.88671875" style="40"/>
  </cols>
  <sheetData>
    <row r="4" spans="1:7">
      <c r="A4" s="39" t="s">
        <v>43</v>
      </c>
    </row>
    <row r="5" spans="1:7" ht="21">
      <c r="A5" s="41" t="s">
        <v>44</v>
      </c>
    </row>
    <row r="7" spans="1:7">
      <c r="A7" s="42" t="s">
        <v>45</v>
      </c>
    </row>
    <row r="10" spans="1:7">
      <c r="A10" s="43" t="s">
        <v>128</v>
      </c>
      <c r="B10" s="40">
        <f>YEAR(B11)</f>
        <v>2021</v>
      </c>
      <c r="C10" s="40">
        <f t="shared" ref="C10:F10" si="0">YEAR(C11)</f>
        <v>2020</v>
      </c>
      <c r="D10" s="40">
        <f t="shared" si="0"/>
        <v>2019</v>
      </c>
      <c r="E10" s="40">
        <f t="shared" si="0"/>
        <v>2018</v>
      </c>
      <c r="F10" s="40">
        <f t="shared" si="0"/>
        <v>2017</v>
      </c>
    </row>
    <row r="11" spans="1:7">
      <c r="A11" s="44" t="s">
        <v>47</v>
      </c>
      <c r="B11" s="45" t="s">
        <v>48</v>
      </c>
      <c r="C11" s="45" t="s">
        <v>49</v>
      </c>
      <c r="D11" s="45" t="s">
        <v>50</v>
      </c>
      <c r="E11" s="45" t="s">
        <v>51</v>
      </c>
      <c r="F11" s="45" t="s">
        <v>52</v>
      </c>
      <c r="G11" s="44"/>
    </row>
    <row r="12" spans="1:7">
      <c r="A12" s="44" t="s">
        <v>53</v>
      </c>
      <c r="B12" s="45" t="s">
        <v>54</v>
      </c>
      <c r="C12" s="45" t="s">
        <v>54</v>
      </c>
      <c r="D12" s="45" t="s">
        <v>54</v>
      </c>
      <c r="E12" s="45" t="s">
        <v>54</v>
      </c>
      <c r="F12" s="45" t="s">
        <v>54</v>
      </c>
      <c r="G12" s="44"/>
    </row>
    <row r="13" spans="1:7" ht="26.4">
      <c r="A13" s="44" t="s">
        <v>55</v>
      </c>
      <c r="B13" s="45" t="s">
        <v>56</v>
      </c>
      <c r="C13" s="45" t="s">
        <v>56</v>
      </c>
      <c r="D13" s="45" t="s">
        <v>56</v>
      </c>
      <c r="E13" s="45" t="s">
        <v>56</v>
      </c>
      <c r="F13" s="45" t="s">
        <v>56</v>
      </c>
      <c r="G13" s="44"/>
    </row>
    <row r="14" spans="1:7">
      <c r="A14" s="44" t="s">
        <v>57</v>
      </c>
      <c r="B14" s="45" t="s">
        <v>58</v>
      </c>
      <c r="C14" s="45" t="s">
        <v>58</v>
      </c>
      <c r="D14" s="45" t="s">
        <v>58</v>
      </c>
      <c r="E14" s="45" t="s">
        <v>59</v>
      </c>
      <c r="F14" s="45" t="s">
        <v>59</v>
      </c>
      <c r="G14" s="44"/>
    </row>
    <row r="15" spans="1:7">
      <c r="A15" s="44" t="s">
        <v>60</v>
      </c>
      <c r="B15" s="45" t="s">
        <v>61</v>
      </c>
      <c r="C15" s="45" t="s">
        <v>61</v>
      </c>
      <c r="D15" s="45" t="s">
        <v>61</v>
      </c>
      <c r="E15" s="45" t="s">
        <v>61</v>
      </c>
      <c r="F15" s="45" t="s">
        <v>61</v>
      </c>
      <c r="G15" s="44"/>
    </row>
    <row r="16" spans="1:7">
      <c r="A16" s="46" t="s">
        <v>74</v>
      </c>
      <c r="B16" s="47">
        <v>-49811</v>
      </c>
      <c r="C16" s="47">
        <v>-47365</v>
      </c>
      <c r="D16" s="47">
        <v>-52415</v>
      </c>
      <c r="E16" s="47">
        <v>-37630</v>
      </c>
      <c r="F16" s="47">
        <v>-19356</v>
      </c>
      <c r="G16" s="46"/>
    </row>
    <row r="17" spans="1:7">
      <c r="A17" s="46" t="s">
        <v>129</v>
      </c>
      <c r="B17" s="47">
        <v>1032</v>
      </c>
      <c r="C17" s="47">
        <v>789</v>
      </c>
      <c r="D17" s="47">
        <v>712</v>
      </c>
      <c r="E17" s="47">
        <v>517</v>
      </c>
      <c r="F17" s="47">
        <v>129</v>
      </c>
      <c r="G17" s="46"/>
    </row>
    <row r="18" spans="1:7">
      <c r="A18" s="46" t="s">
        <v>130</v>
      </c>
      <c r="B18" s="47">
        <v>14612</v>
      </c>
      <c r="C18" s="47">
        <v>7226</v>
      </c>
      <c r="D18" s="47">
        <v>2977</v>
      </c>
      <c r="E18" s="47">
        <v>911</v>
      </c>
      <c r="F18" s="47">
        <v>535</v>
      </c>
      <c r="G18" s="46"/>
    </row>
    <row r="19" spans="1:7">
      <c r="A19" s="46" t="s">
        <v>131</v>
      </c>
      <c r="B19" s="48" t="s">
        <v>72</v>
      </c>
      <c r="C19" s="48" t="s">
        <v>72</v>
      </c>
      <c r="D19" s="47">
        <v>21030</v>
      </c>
      <c r="E19" s="47">
        <v>11906</v>
      </c>
      <c r="F19" s="47">
        <v>-2958</v>
      </c>
      <c r="G19" s="46"/>
    </row>
    <row r="20" spans="1:7">
      <c r="A20" s="46" t="s">
        <v>132</v>
      </c>
      <c r="B20" s="47">
        <v>577</v>
      </c>
      <c r="C20" s="47">
        <v>304</v>
      </c>
      <c r="D20" s="47">
        <v>-309</v>
      </c>
      <c r="E20" s="48" t="s">
        <v>72</v>
      </c>
      <c r="F20" s="48" t="s">
        <v>72</v>
      </c>
      <c r="G20" s="46"/>
    </row>
    <row r="21" spans="1:7">
      <c r="A21" s="46" t="s">
        <v>133</v>
      </c>
      <c r="B21" s="47">
        <v>158</v>
      </c>
      <c r="C21" s="47">
        <v>66</v>
      </c>
      <c r="D21" s="47">
        <v>46</v>
      </c>
      <c r="E21" s="47">
        <v>68</v>
      </c>
      <c r="F21" s="47">
        <v>89</v>
      </c>
      <c r="G21" s="46"/>
    </row>
    <row r="22" spans="1:7">
      <c r="A22" s="46" t="s">
        <v>134</v>
      </c>
      <c r="B22" s="47">
        <v>887</v>
      </c>
      <c r="C22" s="47">
        <v>602</v>
      </c>
      <c r="D22" s="47">
        <v>582</v>
      </c>
      <c r="E22" s="48" t="s">
        <v>72</v>
      </c>
      <c r="F22" s="48" t="s">
        <v>72</v>
      </c>
      <c r="G22" s="46"/>
    </row>
    <row r="23" spans="1:7">
      <c r="A23" s="46" t="s">
        <v>135</v>
      </c>
      <c r="B23" s="48" t="s">
        <v>72</v>
      </c>
      <c r="C23" s="47">
        <v>241</v>
      </c>
      <c r="D23" s="47">
        <v>672</v>
      </c>
      <c r="E23" s="47">
        <v>1555</v>
      </c>
      <c r="F23" s="47">
        <v>1705</v>
      </c>
      <c r="G23" s="46"/>
    </row>
    <row r="24" spans="1:7">
      <c r="A24" s="46" t="s">
        <v>136</v>
      </c>
      <c r="B24" s="48" t="s">
        <v>72</v>
      </c>
      <c r="C24" s="47">
        <v>1119</v>
      </c>
      <c r="D24" s="48" t="s">
        <v>72</v>
      </c>
      <c r="E24" s="48" t="s">
        <v>72</v>
      </c>
      <c r="F24" s="48" t="s">
        <v>72</v>
      </c>
      <c r="G24" s="46"/>
    </row>
    <row r="25" spans="1:7">
      <c r="A25" s="46" t="s">
        <v>137</v>
      </c>
      <c r="B25" s="47">
        <v>9</v>
      </c>
      <c r="C25" s="47">
        <v>52</v>
      </c>
      <c r="D25" s="48" t="s">
        <v>72</v>
      </c>
      <c r="E25" s="47">
        <v>159</v>
      </c>
      <c r="F25" s="48" t="s">
        <v>72</v>
      </c>
      <c r="G25" s="46"/>
    </row>
    <row r="26" spans="1:7">
      <c r="A26" s="46" t="s">
        <v>138</v>
      </c>
      <c r="B26" s="47">
        <v>6</v>
      </c>
      <c r="C26" s="47">
        <v>-32</v>
      </c>
      <c r="D26" s="47">
        <v>23</v>
      </c>
      <c r="E26" s="47">
        <v>1835</v>
      </c>
      <c r="F26" s="47">
        <v>423</v>
      </c>
      <c r="G26" s="46"/>
    </row>
    <row r="27" spans="1:7">
      <c r="A27" s="46" t="s">
        <v>139</v>
      </c>
      <c r="B27" s="47">
        <v>77</v>
      </c>
      <c r="C27" s="47">
        <v>117</v>
      </c>
      <c r="D27" s="47">
        <v>118</v>
      </c>
      <c r="E27" s="47">
        <v>23</v>
      </c>
      <c r="F27" s="47">
        <v>63</v>
      </c>
      <c r="G27" s="46"/>
    </row>
    <row r="28" spans="1:7">
      <c r="A28" s="46" t="s">
        <v>140</v>
      </c>
      <c r="B28" s="47">
        <v>-2769</v>
      </c>
      <c r="C28" s="47">
        <v>-437</v>
      </c>
      <c r="D28" s="47">
        <v>-2241</v>
      </c>
      <c r="E28" s="47">
        <v>-1003</v>
      </c>
      <c r="F28" s="47">
        <v>-4793</v>
      </c>
      <c r="G28" s="46"/>
    </row>
    <row r="29" spans="1:7">
      <c r="A29" s="46" t="s">
        <v>91</v>
      </c>
      <c r="B29" s="47">
        <v>-5563</v>
      </c>
      <c r="C29" s="47">
        <v>-2161</v>
      </c>
      <c r="D29" s="47">
        <v>-4696</v>
      </c>
      <c r="E29" s="47">
        <v>-2565</v>
      </c>
      <c r="F29" s="47">
        <v>-2408</v>
      </c>
      <c r="G29" s="46"/>
    </row>
    <row r="30" spans="1:7">
      <c r="A30" s="46" t="s">
        <v>92</v>
      </c>
      <c r="B30" s="47">
        <v>-772</v>
      </c>
      <c r="C30" s="47">
        <v>250</v>
      </c>
      <c r="D30" s="47">
        <v>-1471</v>
      </c>
      <c r="E30" s="47">
        <v>-1128</v>
      </c>
      <c r="F30" s="47">
        <v>-10</v>
      </c>
      <c r="G30" s="46"/>
    </row>
    <row r="31" spans="1:7">
      <c r="A31" s="46" t="s">
        <v>141</v>
      </c>
      <c r="B31" s="47">
        <v>-117</v>
      </c>
      <c r="C31" s="47">
        <v>210</v>
      </c>
      <c r="D31" s="47">
        <v>552</v>
      </c>
      <c r="E31" s="47">
        <v>-62</v>
      </c>
      <c r="F31" s="48" t="s">
        <v>72</v>
      </c>
      <c r="G31" s="46"/>
    </row>
    <row r="32" spans="1:7">
      <c r="A32" s="46" t="s">
        <v>105</v>
      </c>
      <c r="B32" s="47">
        <v>-1159</v>
      </c>
      <c r="C32" s="47">
        <v>592</v>
      </c>
      <c r="D32" s="47">
        <v>615</v>
      </c>
      <c r="E32" s="47">
        <v>-309</v>
      </c>
      <c r="F32" s="47">
        <v>678</v>
      </c>
      <c r="G32" s="46"/>
    </row>
    <row r="33" spans="1:7">
      <c r="A33" s="46" t="s">
        <v>116</v>
      </c>
      <c r="B33" s="47">
        <v>4418</v>
      </c>
      <c r="C33" s="47">
        <v>146</v>
      </c>
      <c r="D33" s="47">
        <v>4964</v>
      </c>
      <c r="E33" s="47">
        <v>3622</v>
      </c>
      <c r="F33" s="47">
        <v>651</v>
      </c>
      <c r="G33" s="46"/>
    </row>
    <row r="34" spans="1:7">
      <c r="A34" s="46" t="s">
        <v>120</v>
      </c>
      <c r="B34" s="47">
        <v>-520</v>
      </c>
      <c r="C34" s="47">
        <v>26</v>
      </c>
      <c r="D34" s="47">
        <v>-769</v>
      </c>
      <c r="E34" s="47">
        <v>406</v>
      </c>
      <c r="F34" s="48" t="s">
        <v>72</v>
      </c>
      <c r="G34" s="46"/>
    </row>
    <row r="35" spans="1:7">
      <c r="A35" s="46" t="s">
        <v>142</v>
      </c>
      <c r="B35" s="48" t="s">
        <v>72</v>
      </c>
      <c r="C35" s="47">
        <v>-3813</v>
      </c>
      <c r="D35" s="48" t="s">
        <v>72</v>
      </c>
      <c r="E35" s="48" t="s">
        <v>72</v>
      </c>
      <c r="F35" s="48" t="s">
        <v>72</v>
      </c>
      <c r="G35" s="46"/>
    </row>
    <row r="36" spans="1:7">
      <c r="A36" s="46" t="s">
        <v>143</v>
      </c>
      <c r="B36" s="47">
        <v>-38935</v>
      </c>
      <c r="C36" s="47">
        <v>-42068</v>
      </c>
      <c r="D36" s="47">
        <v>-29610</v>
      </c>
      <c r="E36" s="47">
        <v>-21695</v>
      </c>
      <c r="F36" s="47">
        <v>-25252</v>
      </c>
      <c r="G36" s="46"/>
    </row>
    <row r="37" spans="1:7">
      <c r="A37" s="46" t="s">
        <v>144</v>
      </c>
      <c r="B37" s="47">
        <v>-4758</v>
      </c>
      <c r="C37" s="47">
        <v>-842</v>
      </c>
      <c r="D37" s="47">
        <v>-535</v>
      </c>
      <c r="E37" s="47">
        <v>-2276</v>
      </c>
      <c r="F37" s="47">
        <v>-443</v>
      </c>
      <c r="G37" s="46"/>
    </row>
    <row r="38" spans="1:7">
      <c r="A38" s="46" t="s">
        <v>145</v>
      </c>
      <c r="B38" s="47">
        <v>2</v>
      </c>
      <c r="C38" s="48" t="s">
        <v>72</v>
      </c>
      <c r="D38" s="48" t="s">
        <v>72</v>
      </c>
      <c r="E38" s="47">
        <v>6</v>
      </c>
      <c r="F38" s="48" t="s">
        <v>72</v>
      </c>
      <c r="G38" s="46"/>
    </row>
    <row r="39" spans="1:7">
      <c r="A39" s="46" t="s">
        <v>146</v>
      </c>
      <c r="B39" s="48" t="s">
        <v>72</v>
      </c>
      <c r="C39" s="47">
        <v>-79906</v>
      </c>
      <c r="D39" s="47">
        <v>-69421</v>
      </c>
      <c r="E39" s="48" t="s">
        <v>72</v>
      </c>
      <c r="F39" s="48" t="s">
        <v>72</v>
      </c>
      <c r="G39" s="46"/>
    </row>
    <row r="40" spans="1:7">
      <c r="A40" s="46" t="s">
        <v>147</v>
      </c>
      <c r="B40" s="47">
        <v>77400</v>
      </c>
      <c r="C40" s="47">
        <v>71355</v>
      </c>
      <c r="D40" s="48" t="s">
        <v>72</v>
      </c>
      <c r="E40" s="48" t="s">
        <v>72</v>
      </c>
      <c r="F40" s="48" t="s">
        <v>72</v>
      </c>
      <c r="G40" s="46"/>
    </row>
    <row r="41" spans="1:7">
      <c r="A41" s="46" t="s">
        <v>148</v>
      </c>
      <c r="B41" s="47">
        <v>72644</v>
      </c>
      <c r="C41" s="47">
        <v>-9393</v>
      </c>
      <c r="D41" s="47">
        <v>-69956</v>
      </c>
      <c r="E41" s="47">
        <v>-2270</v>
      </c>
      <c r="F41" s="47">
        <v>-443</v>
      </c>
      <c r="G41" s="46"/>
    </row>
    <row r="42" spans="1:7">
      <c r="A42" s="46" t="s">
        <v>149</v>
      </c>
      <c r="B42" s="48" t="s">
        <v>72</v>
      </c>
      <c r="C42" s="47">
        <v>70568</v>
      </c>
      <c r="D42" s="47">
        <v>109352</v>
      </c>
      <c r="E42" s="47">
        <v>-233</v>
      </c>
      <c r="F42" s="48" t="s">
        <v>72</v>
      </c>
      <c r="G42" s="46"/>
    </row>
    <row r="43" spans="1:7">
      <c r="A43" s="46" t="s">
        <v>150</v>
      </c>
      <c r="B43" s="48" t="s">
        <v>72</v>
      </c>
      <c r="C43" s="47">
        <v>48506</v>
      </c>
      <c r="D43" s="48" t="s">
        <v>72</v>
      </c>
      <c r="E43" s="47">
        <v>15000</v>
      </c>
      <c r="F43" s="47">
        <v>5000</v>
      </c>
      <c r="G43" s="46"/>
    </row>
    <row r="44" spans="1:7">
      <c r="A44" s="46" t="s">
        <v>151</v>
      </c>
      <c r="B44" s="47">
        <v>6946</v>
      </c>
      <c r="C44" s="47">
        <v>5168</v>
      </c>
      <c r="D44" s="47">
        <v>2590</v>
      </c>
      <c r="E44" s="47">
        <v>656</v>
      </c>
      <c r="F44" s="47">
        <v>338</v>
      </c>
      <c r="G44" s="46"/>
    </row>
    <row r="45" spans="1:7">
      <c r="A45" s="46" t="s">
        <v>152</v>
      </c>
      <c r="B45" s="48" t="s">
        <v>72</v>
      </c>
      <c r="C45" s="48" t="s">
        <v>72</v>
      </c>
      <c r="D45" s="48" t="s">
        <v>72</v>
      </c>
      <c r="E45" s="48" t="s">
        <v>72</v>
      </c>
      <c r="F45" s="47">
        <v>41818</v>
      </c>
      <c r="G45" s="46"/>
    </row>
    <row r="46" spans="1:7">
      <c r="A46" s="46" t="s">
        <v>153</v>
      </c>
      <c r="B46" s="48" t="s">
        <v>72</v>
      </c>
      <c r="C46" s="48" t="s">
        <v>72</v>
      </c>
      <c r="D46" s="47">
        <v>1784</v>
      </c>
      <c r="E46" s="48" t="s">
        <v>72</v>
      </c>
      <c r="F46" s="48" t="s">
        <v>72</v>
      </c>
      <c r="G46" s="46"/>
    </row>
    <row r="47" spans="1:7">
      <c r="A47" s="46" t="s">
        <v>154</v>
      </c>
      <c r="B47" s="48" t="s">
        <v>72</v>
      </c>
      <c r="C47" s="48" t="s">
        <v>72</v>
      </c>
      <c r="D47" s="47">
        <v>31</v>
      </c>
      <c r="E47" s="48" t="s">
        <v>72</v>
      </c>
      <c r="F47" s="48" t="s">
        <v>72</v>
      </c>
      <c r="G47" s="46"/>
    </row>
    <row r="48" spans="1:7">
      <c r="A48" s="46" t="s">
        <v>155</v>
      </c>
      <c r="B48" s="48" t="s">
        <v>72</v>
      </c>
      <c r="C48" s="47">
        <v>-40000</v>
      </c>
      <c r="D48" s="48" t="s">
        <v>72</v>
      </c>
      <c r="E48" s="48" t="s">
        <v>72</v>
      </c>
      <c r="F48" s="48" t="s">
        <v>72</v>
      </c>
      <c r="G48" s="46"/>
    </row>
    <row r="49" spans="1:7">
      <c r="A49" s="46" t="s">
        <v>156</v>
      </c>
      <c r="B49" s="48" t="s">
        <v>72</v>
      </c>
      <c r="C49" s="47">
        <v>-2496</v>
      </c>
      <c r="D49" s="48" t="s">
        <v>72</v>
      </c>
      <c r="E49" s="48" t="s">
        <v>72</v>
      </c>
      <c r="F49" s="48" t="s">
        <v>72</v>
      </c>
      <c r="G49" s="46"/>
    </row>
    <row r="50" spans="1:7">
      <c r="A50" s="46" t="s">
        <v>157</v>
      </c>
      <c r="B50" s="47">
        <v>32</v>
      </c>
      <c r="C50" s="48" t="s">
        <v>72</v>
      </c>
      <c r="D50" s="48" t="s">
        <v>72</v>
      </c>
      <c r="E50" s="48" t="s">
        <v>72</v>
      </c>
      <c r="F50" s="48" t="s">
        <v>72</v>
      </c>
      <c r="G50" s="46"/>
    </row>
    <row r="51" spans="1:7">
      <c r="A51" s="46" t="s">
        <v>158</v>
      </c>
      <c r="B51" s="48" t="s">
        <v>72</v>
      </c>
      <c r="C51" s="48" t="s">
        <v>72</v>
      </c>
      <c r="D51" s="48" t="s">
        <v>72</v>
      </c>
      <c r="E51" s="47">
        <v>1</v>
      </c>
      <c r="F51" s="48" t="s">
        <v>72</v>
      </c>
      <c r="G51" s="46"/>
    </row>
    <row r="52" spans="1:7">
      <c r="A52" s="46" t="s">
        <v>159</v>
      </c>
      <c r="B52" s="47">
        <v>6978</v>
      </c>
      <c r="C52" s="47">
        <v>81746</v>
      </c>
      <c r="D52" s="47">
        <v>113757</v>
      </c>
      <c r="E52" s="47">
        <v>15424</v>
      </c>
      <c r="F52" s="47">
        <v>47156</v>
      </c>
      <c r="G52" s="46"/>
    </row>
    <row r="53" spans="1:7">
      <c r="A53" s="46" t="s">
        <v>160</v>
      </c>
      <c r="B53" s="47">
        <v>40687</v>
      </c>
      <c r="C53" s="47">
        <v>30285</v>
      </c>
      <c r="D53" s="47">
        <v>14191</v>
      </c>
      <c r="E53" s="47">
        <v>-8541</v>
      </c>
      <c r="F53" s="47">
        <v>21461</v>
      </c>
      <c r="G53" s="46"/>
    </row>
    <row r="54" spans="1:7">
      <c r="A54" s="46" t="s">
        <v>161</v>
      </c>
      <c r="B54" s="47">
        <v>69776</v>
      </c>
      <c r="C54" s="47">
        <v>39491</v>
      </c>
      <c r="D54" s="47">
        <v>25300</v>
      </c>
      <c r="E54" s="47">
        <v>33841</v>
      </c>
      <c r="F54" s="47">
        <v>12380</v>
      </c>
      <c r="G54" s="46"/>
    </row>
    <row r="55" spans="1:7">
      <c r="A55" s="46" t="s">
        <v>162</v>
      </c>
      <c r="B55" s="47">
        <v>110463</v>
      </c>
      <c r="C55" s="47">
        <v>69776</v>
      </c>
      <c r="D55" s="47">
        <v>39491</v>
      </c>
      <c r="E55" s="47">
        <v>25300</v>
      </c>
      <c r="F55" s="47">
        <v>33841</v>
      </c>
      <c r="G55" s="46"/>
    </row>
    <row r="56" spans="1:7">
      <c r="A56" s="46" t="s">
        <v>163</v>
      </c>
      <c r="B56" s="47">
        <v>2360</v>
      </c>
      <c r="C56" s="47">
        <v>7917</v>
      </c>
      <c r="D56" s="47">
        <v>4234</v>
      </c>
      <c r="E56" s="47">
        <v>2738</v>
      </c>
      <c r="F56" s="47">
        <v>2149</v>
      </c>
      <c r="G56" s="46"/>
    </row>
  </sheetData>
  <sheetProtection formatCells="0" formatColumns="0" formatRows="0" insertColumns="0" insertRows="0" insertHyperlinks="0" deleteColumns="0" deleteRows="0" sort="0" autoFilter="0" pivotTables="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Possible_Comps</vt:lpstr>
      <vt:lpstr>Selecting_Comps</vt:lpstr>
      <vt:lpstr>SILK_Comps</vt:lpstr>
      <vt:lpstr>SILK_DCF</vt:lpstr>
      <vt:lpstr>SILK_Cases</vt:lpstr>
      <vt:lpstr>Option_Value</vt:lpstr>
      <vt:lpstr>SILK_IS</vt:lpstr>
      <vt:lpstr>SILK_BS</vt:lpstr>
      <vt:lpstr>SILK_CFS</vt:lpstr>
      <vt:lpstr>SILK_LTM</vt:lpstr>
      <vt:lpstr>LUNG_LTM</vt:lpstr>
      <vt:lpstr>INSP_LTM</vt:lpstr>
      <vt:lpstr>SIBN_LTM</vt:lpstr>
      <vt:lpstr>NARI_LTM</vt:lpstr>
      <vt:lpstr>ESTA_LTM</vt:lpstr>
      <vt:lpstr>LMAT_LTM</vt:lpstr>
    </vt:vector>
  </TitlesOfParts>
  <Company>Loyola Marymount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David_Moore</dc:creator>
  <cp:lastModifiedBy>David Moore</cp:lastModifiedBy>
  <dcterms:created xsi:type="dcterms:W3CDTF">2019-02-12T17:30:01Z</dcterms:created>
  <dcterms:modified xsi:type="dcterms:W3CDTF">2022-11-11T03:53:21Z</dcterms:modified>
</cp:coreProperties>
</file>