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moor\Dropbox\LMU_teaching\FNCE_3415\Fall_22\SILK_Valuation\"/>
    </mc:Choice>
  </mc:AlternateContent>
  <xr:revisionPtr revIDLastSave="0" documentId="13_ncr:1_{F00D2F76-2A58-468A-AB88-AA72BC3BED96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ILK_DCF" sheetId="1" r:id="rId1"/>
    <sheet name="SILK_Cases" sheetId="11" r:id="rId2"/>
    <sheet name="SILK_IS" sheetId="8" r:id="rId3"/>
    <sheet name="SILK_BS" sheetId="9" r:id="rId4"/>
    <sheet name="SILK_CFS" sheetId="10" r:id="rId5"/>
  </sheets>
  <definedNames>
    <definedName name="_xlnm._FilterDatabase" localSheetId="0" hidden="1">SILK_DCF!#REF!</definedName>
    <definedName name="CIQWBGuid" hidden="1">"d0998759-8ba7-4210-8fa6-7a4a90d99731"</definedName>
    <definedName name="IQ_DNTM" hidden="1">700000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MTD" hidden="1">800000</definedName>
    <definedName name="IQ_NAMES_REVISION_DATE_" hidden="1">43011.9007060185</definedName>
    <definedName name="IQ_QTD" hidden="1">750000</definedName>
    <definedName name="IQ_TODAY" hidden="1">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33" i="1" l="1"/>
  <c r="B132" i="1"/>
  <c r="B131" i="1"/>
  <c r="F124" i="1"/>
  <c r="G124" i="1" s="1"/>
  <c r="F123" i="1"/>
  <c r="G123" i="1" s="1"/>
  <c r="C25" i="11"/>
  <c r="G21" i="11"/>
  <c r="F21" i="11"/>
  <c r="E21" i="11"/>
  <c r="F20" i="11"/>
  <c r="E20" i="11"/>
  <c r="D20" i="11"/>
  <c r="G18" i="11"/>
  <c r="F18" i="11"/>
  <c r="E18" i="11"/>
  <c r="G17" i="11"/>
  <c r="F17" i="11"/>
  <c r="E17" i="11"/>
  <c r="D17" i="11"/>
  <c r="G16" i="11"/>
  <c r="F16" i="11"/>
  <c r="E16" i="11"/>
  <c r="D16" i="11"/>
  <c r="G12" i="11"/>
  <c r="G14" i="11" s="1"/>
  <c r="F11" i="11"/>
  <c r="E11" i="11"/>
  <c r="D11" i="11"/>
  <c r="G9" i="11"/>
  <c r="G11" i="11" s="1"/>
  <c r="H8" i="11"/>
  <c r="H19" i="11" s="1"/>
  <c r="G8" i="11"/>
  <c r="G19" i="11" s="1"/>
  <c r="F8" i="11"/>
  <c r="F19" i="11" s="1"/>
  <c r="E8" i="11"/>
  <c r="E19" i="11" s="1"/>
  <c r="D8" i="11"/>
  <c r="G7" i="11"/>
  <c r="F7" i="11"/>
  <c r="E7" i="11"/>
  <c r="D7" i="11"/>
  <c r="D18" i="11" s="1"/>
  <c r="C7" i="11"/>
  <c r="H6" i="11"/>
  <c r="I6" i="11" s="1"/>
  <c r="G5" i="11"/>
  <c r="F5" i="11"/>
  <c r="E5" i="11"/>
  <c r="D5" i="11"/>
  <c r="H4" i="11"/>
  <c r="I4" i="11" s="1"/>
  <c r="D3" i="11"/>
  <c r="E3" i="11" s="1"/>
  <c r="F3" i="11" s="1"/>
  <c r="G3" i="11" s="1"/>
  <c r="H3" i="11" s="1"/>
  <c r="I3" i="11" s="1"/>
  <c r="J3" i="11" s="1"/>
  <c r="K3" i="11" s="1"/>
  <c r="L3" i="11" s="1"/>
  <c r="M3" i="11" s="1"/>
  <c r="N3" i="11" s="1"/>
  <c r="O3" i="11" s="1"/>
  <c r="P3" i="11" s="1"/>
  <c r="M75" i="1"/>
  <c r="N75" i="1"/>
  <c r="O75" i="1"/>
  <c r="P75" i="1"/>
  <c r="Q75" i="1"/>
  <c r="R75" i="1"/>
  <c r="S75" i="1"/>
  <c r="T75" i="1"/>
  <c r="L75" i="1"/>
  <c r="M33" i="1"/>
  <c r="N33" i="1" s="1"/>
  <c r="O33" i="1" s="1"/>
  <c r="P33" i="1" s="1"/>
  <c r="Q33" i="1" s="1"/>
  <c r="R33" i="1" s="1"/>
  <c r="S33" i="1" s="1"/>
  <c r="T33" i="1" s="1"/>
  <c r="L33" i="1"/>
  <c r="X33" i="1"/>
  <c r="M32" i="1"/>
  <c r="N32" i="1" s="1"/>
  <c r="O32" i="1" s="1"/>
  <c r="P32" i="1" s="1"/>
  <c r="Q32" i="1" s="1"/>
  <c r="R32" i="1" s="1"/>
  <c r="S32" i="1" s="1"/>
  <c r="T32" i="1" s="1"/>
  <c r="L32" i="1"/>
  <c r="X32" i="1"/>
  <c r="L30" i="1"/>
  <c r="M30" i="1"/>
  <c r="N30" i="1" s="1"/>
  <c r="O30" i="1" s="1"/>
  <c r="P30" i="1" s="1"/>
  <c r="Q30" i="1" s="1"/>
  <c r="R30" i="1" s="1"/>
  <c r="S30" i="1" s="1"/>
  <c r="T30" i="1" s="1"/>
  <c r="X30" i="1"/>
  <c r="M29" i="1"/>
  <c r="N29" i="1"/>
  <c r="O29" i="1"/>
  <c r="P29" i="1" s="1"/>
  <c r="Q29" i="1" s="1"/>
  <c r="R29" i="1" s="1"/>
  <c r="S29" i="1" s="1"/>
  <c r="T29" i="1" s="1"/>
  <c r="L29" i="1"/>
  <c r="X29" i="1"/>
  <c r="R8" i="1"/>
  <c r="S8" i="1"/>
  <c r="T8" i="1"/>
  <c r="R26" i="1"/>
  <c r="S26" i="1" s="1"/>
  <c r="T26" i="1" s="1"/>
  <c r="F14" i="1"/>
  <c r="F31" i="1" s="1"/>
  <c r="F13" i="1"/>
  <c r="F30" i="1" s="1"/>
  <c r="F10" i="1"/>
  <c r="F29" i="1" s="1"/>
  <c r="F9" i="1"/>
  <c r="F11" i="1" s="1"/>
  <c r="F10" i="10"/>
  <c r="E10" i="10"/>
  <c r="D10" i="10"/>
  <c r="C10" i="10"/>
  <c r="B10" i="10"/>
  <c r="F10" i="9"/>
  <c r="E10" i="9"/>
  <c r="D10" i="9"/>
  <c r="C10" i="9"/>
  <c r="B10" i="9"/>
  <c r="C10" i="8"/>
  <c r="D10" i="8"/>
  <c r="E10" i="8"/>
  <c r="F10" i="8"/>
  <c r="B10" i="8"/>
  <c r="J4" i="11" l="1"/>
  <c r="I5" i="11"/>
  <c r="I12" i="11"/>
  <c r="I14" i="11" s="1"/>
  <c r="I7" i="11"/>
  <c r="I8" i="11"/>
  <c r="I19" i="11" s="1"/>
  <c r="J6" i="11"/>
  <c r="H5" i="11"/>
  <c r="H7" i="11"/>
  <c r="H18" i="11" s="1"/>
  <c r="H12" i="11"/>
  <c r="H14" i="11" s="1"/>
  <c r="F15" i="1"/>
  <c r="F34" i="1"/>
  <c r="C39" i="8"/>
  <c r="D39" i="8"/>
  <c r="E39" i="8"/>
  <c r="F39" i="8"/>
  <c r="F20" i="1" s="1"/>
  <c r="F32" i="1" s="1"/>
  <c r="B39" i="8"/>
  <c r="C38" i="8"/>
  <c r="D38" i="8"/>
  <c r="E38" i="8"/>
  <c r="F38" i="8"/>
  <c r="F19" i="1" s="1"/>
  <c r="F33" i="1" s="1"/>
  <c r="B38" i="8"/>
  <c r="J12" i="11" l="1"/>
  <c r="J14" i="11" s="1"/>
  <c r="J7" i="11"/>
  <c r="J18" i="11" s="1"/>
  <c r="K6" i="11"/>
  <c r="J8" i="11"/>
  <c r="J19" i="11" s="1"/>
  <c r="I18" i="11"/>
  <c r="J5" i="11"/>
  <c r="K4" i="11"/>
  <c r="F16" i="1"/>
  <c r="F17" i="1" s="1"/>
  <c r="F22" i="1" s="1"/>
  <c r="G8" i="1"/>
  <c r="L4" i="11" l="1"/>
  <c r="K5" i="11"/>
  <c r="K12" i="11"/>
  <c r="K14" i="11" s="1"/>
  <c r="K7" i="11"/>
  <c r="K18" i="11" s="1"/>
  <c r="K8" i="11"/>
  <c r="K19" i="11" s="1"/>
  <c r="L6" i="11"/>
  <c r="G20" i="1"/>
  <c r="G32" i="1" s="1"/>
  <c r="G9" i="1"/>
  <c r="C12" i="11" s="1"/>
  <c r="G10" i="1"/>
  <c r="G29" i="1" s="1"/>
  <c r="G19" i="1"/>
  <c r="G33" i="1" s="1"/>
  <c r="G14" i="1"/>
  <c r="G31" i="1" s="1"/>
  <c r="G13" i="1"/>
  <c r="G30" i="1" s="1"/>
  <c r="H8" i="1"/>
  <c r="F59" i="1"/>
  <c r="F26" i="1"/>
  <c r="G26" i="1" s="1"/>
  <c r="H26" i="1" s="1"/>
  <c r="I26" i="1" s="1"/>
  <c r="J26" i="1" s="1"/>
  <c r="K26" i="1" s="1"/>
  <c r="L26" i="1" s="1"/>
  <c r="M26" i="1" s="1"/>
  <c r="N26" i="1" s="1"/>
  <c r="O26" i="1" s="1"/>
  <c r="P26" i="1" s="1"/>
  <c r="Q26" i="1" s="1"/>
  <c r="C14" i="11" l="1"/>
  <c r="C13" i="11"/>
  <c r="M4" i="11"/>
  <c r="L5" i="11"/>
  <c r="L8" i="11"/>
  <c r="L19" i="11" s="1"/>
  <c r="L12" i="11"/>
  <c r="L14" i="11" s="1"/>
  <c r="M6" i="11"/>
  <c r="L7" i="11"/>
  <c r="L18" i="11" s="1"/>
  <c r="G59" i="1"/>
  <c r="F60" i="1"/>
  <c r="F65" i="1"/>
  <c r="F62" i="1"/>
  <c r="F66" i="1"/>
  <c r="F61" i="1"/>
  <c r="H9" i="1"/>
  <c r="D12" i="11" s="1"/>
  <c r="H19" i="1"/>
  <c r="H10" i="1"/>
  <c r="H14" i="1"/>
  <c r="H20" i="1"/>
  <c r="H13" i="1"/>
  <c r="G11" i="1"/>
  <c r="G28" i="1"/>
  <c r="I8" i="1"/>
  <c r="F74" i="1"/>
  <c r="G74" i="1" s="1"/>
  <c r="H74" i="1" s="1"/>
  <c r="I74" i="1" s="1"/>
  <c r="J74" i="1" s="1"/>
  <c r="K74" i="1" s="1"/>
  <c r="L74" i="1" s="1"/>
  <c r="M74" i="1" s="1"/>
  <c r="N74" i="1" s="1"/>
  <c r="O74" i="1" s="1"/>
  <c r="P74" i="1" s="1"/>
  <c r="Q74" i="1" s="1"/>
  <c r="R74" i="1" s="1"/>
  <c r="S74" i="1" s="1"/>
  <c r="T74" i="1" s="1"/>
  <c r="D14" i="11" l="1"/>
  <c r="D13" i="11"/>
  <c r="F67" i="1"/>
  <c r="H32" i="1"/>
  <c r="H31" i="1"/>
  <c r="N4" i="11"/>
  <c r="M5" i="11"/>
  <c r="M8" i="11"/>
  <c r="M19" i="11" s="1"/>
  <c r="M12" i="11"/>
  <c r="M14" i="11" s="1"/>
  <c r="N6" i="11"/>
  <c r="M7" i="11"/>
  <c r="M18" i="11" s="1"/>
  <c r="H29" i="1"/>
  <c r="H33" i="1"/>
  <c r="H11" i="1"/>
  <c r="H28" i="1"/>
  <c r="H30" i="1"/>
  <c r="I19" i="1"/>
  <c r="I10" i="1"/>
  <c r="I14" i="1"/>
  <c r="I31" i="1" s="1"/>
  <c r="I9" i="1"/>
  <c r="E12" i="11" s="1"/>
  <c r="I20" i="1"/>
  <c r="I32" i="1" s="1"/>
  <c r="I13" i="1"/>
  <c r="I30" i="1" s="1"/>
  <c r="G34" i="1"/>
  <c r="G15" i="1"/>
  <c r="F63" i="1"/>
  <c r="H59" i="1"/>
  <c r="G65" i="1"/>
  <c r="G62" i="1"/>
  <c r="G60" i="1"/>
  <c r="G66" i="1"/>
  <c r="G61" i="1"/>
  <c r="J8" i="1"/>
  <c r="F69" i="1" l="1"/>
  <c r="F75" i="1" s="1"/>
  <c r="G67" i="1"/>
  <c r="E14" i="11"/>
  <c r="E13" i="11"/>
  <c r="O4" i="11"/>
  <c r="N5" i="11"/>
  <c r="N8" i="11"/>
  <c r="N19" i="11" s="1"/>
  <c r="O6" i="11"/>
  <c r="N7" i="11"/>
  <c r="N18" i="11" s="1"/>
  <c r="N12" i="11"/>
  <c r="N14" i="11" s="1"/>
  <c r="I29" i="1"/>
  <c r="G63" i="1"/>
  <c r="G16" i="1"/>
  <c r="G17" i="1" s="1"/>
  <c r="I59" i="1"/>
  <c r="H60" i="1"/>
  <c r="H65" i="1"/>
  <c r="H62" i="1"/>
  <c r="H61" i="1"/>
  <c r="H66" i="1"/>
  <c r="J19" i="1"/>
  <c r="J10" i="1"/>
  <c r="J9" i="1"/>
  <c r="J14" i="1"/>
  <c r="J13" i="1"/>
  <c r="J20" i="1"/>
  <c r="I33" i="1"/>
  <c r="I11" i="1"/>
  <c r="I28" i="1"/>
  <c r="H15" i="1"/>
  <c r="H34" i="1"/>
  <c r="K8" i="1"/>
  <c r="L8" i="1" s="1"/>
  <c r="M8" i="1" s="1"/>
  <c r="N8" i="1" s="1"/>
  <c r="O8" i="1" s="1"/>
  <c r="P8" i="1" s="1"/>
  <c r="Q8" i="1" s="1"/>
  <c r="G69" i="1" l="1"/>
  <c r="G75" i="1" s="1"/>
  <c r="K9" i="1"/>
  <c r="F12" i="11"/>
  <c r="P4" i="11"/>
  <c r="P5" i="11" s="1"/>
  <c r="O5" i="11"/>
  <c r="O8" i="11"/>
  <c r="O19" i="11" s="1"/>
  <c r="P6" i="11"/>
  <c r="O12" i="11"/>
  <c r="O14" i="11" s="1"/>
  <c r="O7" i="11"/>
  <c r="O18" i="11" s="1"/>
  <c r="J32" i="1"/>
  <c r="J11" i="1"/>
  <c r="J28" i="1"/>
  <c r="J33" i="1"/>
  <c r="J29" i="1"/>
  <c r="J59" i="1"/>
  <c r="I65" i="1"/>
  <c r="I60" i="1"/>
  <c r="I63" i="1" s="1"/>
  <c r="I62" i="1"/>
  <c r="I61" i="1"/>
  <c r="I66" i="1"/>
  <c r="J31" i="1"/>
  <c r="H67" i="1"/>
  <c r="H16" i="1"/>
  <c r="H17" i="1" s="1"/>
  <c r="I34" i="1"/>
  <c r="I15" i="1"/>
  <c r="J30" i="1"/>
  <c r="H63" i="1"/>
  <c r="G70" i="1" l="1"/>
  <c r="G21" i="1" s="1"/>
  <c r="G22" i="1" s="1"/>
  <c r="F14" i="11"/>
  <c r="F13" i="11"/>
  <c r="L9" i="1"/>
  <c r="K14" i="1"/>
  <c r="K69" i="1"/>
  <c r="K13" i="1"/>
  <c r="K10" i="1"/>
  <c r="K11" i="1" s="1"/>
  <c r="K20" i="1"/>
  <c r="K19" i="1" s="1"/>
  <c r="C27" i="11"/>
  <c r="P8" i="11"/>
  <c r="P19" i="11" s="1"/>
  <c r="P12" i="11"/>
  <c r="P14" i="11" s="1"/>
  <c r="P7" i="11"/>
  <c r="P18" i="11" s="1"/>
  <c r="I67" i="1"/>
  <c r="I69" i="1" s="1"/>
  <c r="K59" i="1"/>
  <c r="L59" i="1" s="1"/>
  <c r="M59" i="1" s="1"/>
  <c r="N59" i="1" s="1"/>
  <c r="O59" i="1" s="1"/>
  <c r="P59" i="1" s="1"/>
  <c r="Q59" i="1" s="1"/>
  <c r="R59" i="1" s="1"/>
  <c r="S59" i="1" s="1"/>
  <c r="T59" i="1" s="1"/>
  <c r="J65" i="1"/>
  <c r="J60" i="1"/>
  <c r="J62" i="1"/>
  <c r="J61" i="1"/>
  <c r="J66" i="1"/>
  <c r="I16" i="1"/>
  <c r="I17" i="1" s="1"/>
  <c r="H69" i="1"/>
  <c r="J34" i="1"/>
  <c r="J15" i="1"/>
  <c r="K15" i="1" l="1"/>
  <c r="K34" i="1"/>
  <c r="L10" i="1"/>
  <c r="L13" i="1"/>
  <c r="M9" i="1"/>
  <c r="L69" i="1"/>
  <c r="L70" i="1" s="1"/>
  <c r="L21" i="1" s="1"/>
  <c r="L20" i="1"/>
  <c r="L19" i="1" s="1"/>
  <c r="L11" i="1"/>
  <c r="L14" i="1"/>
  <c r="H75" i="1"/>
  <c r="H70" i="1"/>
  <c r="H21" i="1" s="1"/>
  <c r="H22" i="1" s="1"/>
  <c r="I75" i="1"/>
  <c r="I70" i="1"/>
  <c r="I21" i="1" s="1"/>
  <c r="I22" i="1" s="1"/>
  <c r="J67" i="1"/>
  <c r="J16" i="1"/>
  <c r="J17" i="1" s="1"/>
  <c r="J63" i="1"/>
  <c r="L15" i="1" l="1"/>
  <c r="L16" i="1" s="1"/>
  <c r="L17" i="1" s="1"/>
  <c r="L22" i="1" s="1"/>
  <c r="L34" i="1"/>
  <c r="N9" i="1"/>
  <c r="M10" i="1"/>
  <c r="M13" i="1"/>
  <c r="M11" i="1"/>
  <c r="M69" i="1"/>
  <c r="M70" i="1" s="1"/>
  <c r="M14" i="1"/>
  <c r="M20" i="1"/>
  <c r="M19" i="1" s="1"/>
  <c r="J69" i="1"/>
  <c r="K70" i="1" s="1"/>
  <c r="K21" i="1" s="1"/>
  <c r="K16" i="1"/>
  <c r="K17" i="1" s="1"/>
  <c r="J75" i="1" l="1"/>
  <c r="J70" i="1"/>
  <c r="J21" i="1" s="1"/>
  <c r="J22" i="1" s="1"/>
  <c r="M21" i="1"/>
  <c r="O9" i="1"/>
  <c r="N10" i="1"/>
  <c r="N13" i="1"/>
  <c r="N14" i="1"/>
  <c r="N11" i="1"/>
  <c r="N69" i="1"/>
  <c r="N70" i="1" s="1"/>
  <c r="N21" i="1" s="1"/>
  <c r="N20" i="1"/>
  <c r="N19" i="1" s="1"/>
  <c r="K22" i="1"/>
  <c r="M15" i="1"/>
  <c r="M34" i="1"/>
  <c r="M16" i="1" l="1"/>
  <c r="M17" i="1"/>
  <c r="M22" i="1" s="1"/>
  <c r="P9" i="1"/>
  <c r="O10" i="1"/>
  <c r="O11" i="1" s="1"/>
  <c r="O13" i="1"/>
  <c r="O14" i="1"/>
  <c r="O69" i="1"/>
  <c r="O70" i="1" s="1"/>
  <c r="O21" i="1" s="1"/>
  <c r="O20" i="1"/>
  <c r="O19" i="1" s="1"/>
  <c r="N15" i="1"/>
  <c r="N16" i="1" s="1"/>
  <c r="N17" i="1" s="1"/>
  <c r="N22" i="1" s="1"/>
  <c r="N34" i="1"/>
  <c r="O15" i="1" l="1"/>
  <c r="O34" i="1"/>
  <c r="Q9" i="1"/>
  <c r="P10" i="1"/>
  <c r="P13" i="1"/>
  <c r="P14" i="1"/>
  <c r="P69" i="1"/>
  <c r="P70" i="1" s="1"/>
  <c r="P21" i="1" s="1"/>
  <c r="P20" i="1"/>
  <c r="P19" i="1" s="1"/>
  <c r="P11" i="1"/>
  <c r="P15" i="1" l="1"/>
  <c r="P16" i="1" s="1"/>
  <c r="P17" i="1" s="1"/>
  <c r="P22" i="1" s="1"/>
  <c r="P34" i="1"/>
  <c r="O16" i="1"/>
  <c r="O17" i="1"/>
  <c r="O22" i="1" s="1"/>
  <c r="R9" i="1"/>
  <c r="Q10" i="1"/>
  <c r="Q11" i="1" s="1"/>
  <c r="Q13" i="1"/>
  <c r="Q69" i="1"/>
  <c r="Q70" i="1" s="1"/>
  <c r="Q21" i="1" s="1"/>
  <c r="Q20" i="1"/>
  <c r="Q19" i="1" s="1"/>
  <c r="Q14" i="1"/>
  <c r="Q15" i="1" l="1"/>
  <c r="Q16" i="1" s="1"/>
  <c r="Q17" i="1" s="1"/>
  <c r="Q22" i="1" s="1"/>
  <c r="Q34" i="1"/>
  <c r="S9" i="1"/>
  <c r="R14" i="1"/>
  <c r="R10" i="1"/>
  <c r="R13" i="1"/>
  <c r="R11" i="1"/>
  <c r="R69" i="1"/>
  <c r="R70" i="1" s="1"/>
  <c r="R21" i="1" s="1"/>
  <c r="R20" i="1"/>
  <c r="R19" i="1" s="1"/>
  <c r="T9" i="1" l="1"/>
  <c r="S14" i="1"/>
  <c r="S13" i="1"/>
  <c r="S10" i="1"/>
  <c r="S11" i="1" s="1"/>
  <c r="S69" i="1"/>
  <c r="S70" i="1" s="1"/>
  <c r="S21" i="1" s="1"/>
  <c r="S20" i="1"/>
  <c r="S19" i="1" s="1"/>
  <c r="R15" i="1"/>
  <c r="R16" i="1" s="1"/>
  <c r="R17" i="1" s="1"/>
  <c r="R22" i="1" s="1"/>
  <c r="R34" i="1"/>
  <c r="S15" i="1" l="1"/>
  <c r="S16" i="1" s="1"/>
  <c r="S17" i="1" s="1"/>
  <c r="S22" i="1" s="1"/>
  <c r="S34" i="1"/>
  <c r="T14" i="1"/>
  <c r="T10" i="1"/>
  <c r="T11" i="1" s="1"/>
  <c r="T13" i="1"/>
  <c r="T20" i="1"/>
  <c r="T19" i="1" s="1"/>
  <c r="T69" i="1"/>
  <c r="T70" i="1" s="1"/>
  <c r="T21" i="1" s="1"/>
  <c r="T15" i="1" l="1"/>
  <c r="T16" i="1" s="1"/>
  <c r="T17" i="1" s="1"/>
  <c r="T22" i="1" s="1"/>
  <c r="T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David Moore</author>
  </authors>
  <commentList>
    <comment ref="G4" authorId="0" shapeId="0" xr:uid="{5A38BC33-24CF-4EBF-B522-B79A80311E7A}">
      <text>
        <r>
          <rPr>
            <b/>
            <sz val="9"/>
            <color indexed="81"/>
            <rFont val="Tahoma"/>
            <family val="2"/>
          </rPr>
          <t>David Moore:</t>
        </r>
        <r>
          <rPr>
            <sz val="9"/>
            <color indexed="81"/>
            <rFont val="Tahoma"/>
            <family val="2"/>
          </rPr>
          <t xml:space="preserve">
From 2022 Q2 Earnings Call</t>
        </r>
      </text>
    </comment>
    <comment ref="G6" authorId="0" shapeId="0" xr:uid="{42E22D37-0505-465B-8B1E-C5F6F2DEC030}">
      <text>
        <r>
          <rPr>
            <b/>
            <sz val="9"/>
            <color indexed="81"/>
            <rFont val="Tahoma"/>
            <family val="2"/>
          </rPr>
          <t>David Moore:</t>
        </r>
        <r>
          <rPr>
            <sz val="9"/>
            <color indexed="81"/>
            <rFont val="Tahoma"/>
            <family val="2"/>
          </rPr>
          <t xml:space="preserve">
From 2022 Q2 Earnings Call</t>
        </r>
      </text>
    </comment>
    <comment ref="G10" authorId="0" shapeId="0" xr:uid="{D2575E4C-D396-42B9-A869-D7E3BBB86F22}">
      <text>
        <r>
          <rPr>
            <b/>
            <sz val="9"/>
            <color indexed="81"/>
            <rFont val="Tahoma"/>
            <family val="2"/>
          </rPr>
          <t>David Moore:</t>
        </r>
        <r>
          <rPr>
            <sz val="9"/>
            <color indexed="81"/>
            <rFont val="Tahoma"/>
            <family val="2"/>
          </rPr>
          <t xml:space="preserve">
From 2022 Q2 Earnings Call</t>
        </r>
      </text>
    </comment>
    <comment ref="G20" authorId="0" shapeId="0" xr:uid="{5B535BDE-5E83-42EC-8BD0-F1D2C701A0EB}">
      <text>
        <r>
          <rPr>
            <b/>
            <sz val="9"/>
            <color indexed="81"/>
            <rFont val="Tahoma"/>
            <family val="2"/>
          </rPr>
          <t>David Moore:</t>
        </r>
        <r>
          <rPr>
            <sz val="9"/>
            <color indexed="81"/>
            <rFont val="Tahoma"/>
            <family val="2"/>
          </rPr>
          <t xml:space="preserve">
Estimate based on historical growth and sales territory growth (70 to 75 from 58)</t>
        </r>
      </text>
    </comment>
    <comment ref="C24" authorId="0" shapeId="0" xr:uid="{86577D43-9ED7-4F2F-904A-1496A5BD13D8}">
      <text>
        <r>
          <rPr>
            <b/>
            <sz val="9"/>
            <color indexed="81"/>
            <rFont val="Tahoma"/>
            <family val="2"/>
          </rPr>
          <t>David Moore:</t>
        </r>
        <r>
          <rPr>
            <sz val="9"/>
            <color indexed="81"/>
            <rFont val="Tahoma"/>
            <family val="2"/>
          </rPr>
          <t xml:space="preserve">
David Moore:
https://www.abms.org/wp-content/uploads/2022/01/ABMS-Board-Certification-Report-2020-2021.pdf
</t>
        </r>
      </text>
    </comment>
    <comment ref="C26" authorId="0" shapeId="0" xr:uid="{0FCA3A0D-5811-4335-8637-092758A4F891}">
      <text>
        <r>
          <rPr>
            <b/>
            <sz val="9"/>
            <color indexed="81"/>
            <rFont val="Tahoma"/>
            <family val="2"/>
          </rPr>
          <t>David Moore:</t>
        </r>
        <r>
          <rPr>
            <sz val="9"/>
            <color indexed="81"/>
            <rFont val="Tahoma"/>
            <family val="2"/>
          </rPr>
          <t xml:space="preserve">
SILK Q2 earnings call
 </t>
        </r>
      </text>
    </comment>
    <comment ref="C28" authorId="0" shapeId="0" xr:uid="{14F870CD-2848-44ED-BFA0-C7EBB5A721DA}">
      <text>
        <r>
          <rPr>
            <b/>
            <sz val="9"/>
            <color indexed="81"/>
            <rFont val="Tahoma"/>
            <family val="2"/>
          </rPr>
          <t>David Moore:</t>
        </r>
        <r>
          <rPr>
            <sz val="9"/>
            <color indexed="81"/>
            <rFont val="Tahoma"/>
            <family val="2"/>
          </rPr>
          <t xml:space="preserve">
https://www.abms.org/wp-content/uploads/2022/01/ABMS-Board-Certification-Report-2020-2021.pdf</t>
        </r>
      </text>
    </comment>
  </commentList>
</comments>
</file>

<file path=xl/sharedStrings.xml><?xml version="1.0" encoding="utf-8"?>
<sst xmlns="http://schemas.openxmlformats.org/spreadsheetml/2006/main" count="482" uniqueCount="252">
  <si>
    <t>Sales Growth</t>
  </si>
  <si>
    <t>Step</t>
  </si>
  <si>
    <t>Terminal growth rate</t>
  </si>
  <si>
    <t>Terminal Value - Perpetuity Growth</t>
  </si>
  <si>
    <t>Non-cash NWC as a % of Sale</t>
  </si>
  <si>
    <t>Projected</t>
  </si>
  <si>
    <t>Historical</t>
  </si>
  <si>
    <t>Change in NWC</t>
  </si>
  <si>
    <t>Non-cash Net Working Capital</t>
  </si>
  <si>
    <t>Total non-debt current liabilities</t>
  </si>
  <si>
    <t>Total current liabilities</t>
  </si>
  <si>
    <t>Total non-cash current assets</t>
  </si>
  <si>
    <t>Short-term investments</t>
  </si>
  <si>
    <t>Cash &amp; cash equivalents</t>
  </si>
  <si>
    <t>Total current assets</t>
  </si>
  <si>
    <t>WORKING CAPITAL SCHEDULE</t>
  </si>
  <si>
    <t>Implied Equity Value per Share</t>
  </si>
  <si>
    <t>Diluted Shares Outstanding</t>
  </si>
  <si>
    <t>Implied Equity Value</t>
  </si>
  <si>
    <t>Net debt + Preferred stock + NCI</t>
  </si>
  <si>
    <t>Total Enterprise Value</t>
  </si>
  <si>
    <t>PV of Unlevered Free Cash Flows</t>
  </si>
  <si>
    <t>PV of Terminal Value</t>
  </si>
  <si>
    <t>WACC - current</t>
  </si>
  <si>
    <t>Terminal value</t>
  </si>
  <si>
    <t>Terminal year EBITDA multiple</t>
  </si>
  <si>
    <t>Terminal year EBITDA</t>
  </si>
  <si>
    <t>Unlevered FCF in terminal year</t>
  </si>
  <si>
    <t>WACC - for terminal value</t>
  </si>
  <si>
    <t>Terminal Value - Exit Multiple</t>
  </si>
  <si>
    <t>TERMINAL VALUE AND EQUITY VALUE PER SHARE</t>
  </si>
  <si>
    <t>Gross margin</t>
  </si>
  <si>
    <t>Depreciation and amortization (as % of capex)</t>
  </si>
  <si>
    <t>Capex (as % of revenues)</t>
  </si>
  <si>
    <t>Assumptions</t>
  </si>
  <si>
    <t>Unlevered free cash flows</t>
  </si>
  <si>
    <t>Change in Net Working Capital</t>
  </si>
  <si>
    <t>Capex</t>
  </si>
  <si>
    <t>Depreciation and amortization</t>
  </si>
  <si>
    <t>Tax-effected EBIT</t>
  </si>
  <si>
    <t>Taxes</t>
  </si>
  <si>
    <t>EBIT</t>
  </si>
  <si>
    <t>Gross Profit</t>
  </si>
  <si>
    <t>FORECASTING CASH FLOWS</t>
  </si>
  <si>
    <t>Silk Road Medical (SILK) DISCOUNTED CASH FLOWS MODEL</t>
  </si>
  <si>
    <t>Powered by Clearbit</t>
  </si>
  <si>
    <t>Silk Road Medical Inc (NMS: SILK)</t>
  </si>
  <si>
    <t xml:space="preserve">Exchange rate used is that of the Year End reported date </t>
  </si>
  <si>
    <t xml:space="preserve">As Reported Annual Income Statement </t>
  </si>
  <si>
    <t>Report Date</t>
  </si>
  <si>
    <t>12/31/2021</t>
  </si>
  <si>
    <t>12/31/2020</t>
  </si>
  <si>
    <t>12/31/2019</t>
  </si>
  <si>
    <t>12/31/2018</t>
  </si>
  <si>
    <t>12/31/2017</t>
  </si>
  <si>
    <t>Currency</t>
  </si>
  <si>
    <t>USD</t>
  </si>
  <si>
    <t>Audit Status</t>
  </si>
  <si>
    <t>Not Qualified</t>
  </si>
  <si>
    <t>Consolidated</t>
  </si>
  <si>
    <t>No</t>
  </si>
  <si>
    <t>Yes</t>
  </si>
  <si>
    <t>Scale</t>
  </si>
  <si>
    <t>Thousands</t>
  </si>
  <si>
    <t>Revenue</t>
  </si>
  <si>
    <t>Cost of goods sold</t>
  </si>
  <si>
    <t>Gross profit (loss)</t>
  </si>
  <si>
    <t>Research &amp; development expenses</t>
  </si>
  <si>
    <t>Selling, general &amp; administrative expenses</t>
  </si>
  <si>
    <t>Total operating expenses</t>
  </si>
  <si>
    <t>Income (loss) from operations</t>
  </si>
  <si>
    <t>Interest income</t>
  </si>
  <si>
    <t>Interest expense</t>
  </si>
  <si>
    <t>Gain (loss) on debt extinguishment</t>
  </si>
  <si>
    <t>-</t>
  </si>
  <si>
    <t>Other income (expense), net</t>
  </si>
  <si>
    <t>Net income (loss)</t>
  </si>
  <si>
    <t>Net loss (income) attributable to non-controlling interest</t>
  </si>
  <si>
    <t>Net income (loss) attributable to Silk Road Medical, Inc. common stockholders</t>
  </si>
  <si>
    <t>Weighted average shares outstanding - basic</t>
  </si>
  <si>
    <t>Weighted average shares outstanding - diluted</t>
  </si>
  <si>
    <t>Year end shares outstanding</t>
  </si>
  <si>
    <t>Net earnings (loss) per share - basic</t>
  </si>
  <si>
    <t>Net earnings (loss) per share - diluted</t>
  </si>
  <si>
    <t>Number of full time employees</t>
  </si>
  <si>
    <t>Number of common stockholders</t>
  </si>
  <si>
    <t xml:space="preserve">As Reported Annual Balance Sheet </t>
  </si>
  <si>
    <t>Accounts receivable, gross</t>
  </si>
  <si>
    <t>Allowance for doubtful accounts</t>
  </si>
  <si>
    <t>Accounts receivable, net</t>
  </si>
  <si>
    <t>Raw materials</t>
  </si>
  <si>
    <t>Finished goods</t>
  </si>
  <si>
    <t>Less: reserve for excess &amp; obsolete</t>
  </si>
  <si>
    <t>Inventories</t>
  </si>
  <si>
    <t>Prepaid expenses &amp; other current assets</t>
  </si>
  <si>
    <t>Long-term investments</t>
  </si>
  <si>
    <t>Furniture &amp; fixtures</t>
  </si>
  <si>
    <t>Equipment</t>
  </si>
  <si>
    <t>Software</t>
  </si>
  <si>
    <t>Leasehold improvements</t>
  </si>
  <si>
    <t>Total property &amp; equipment, gross</t>
  </si>
  <si>
    <t>Less: accumulated depreciation &amp; amortization</t>
  </si>
  <si>
    <t>Add: construction-in-progress</t>
  </si>
  <si>
    <t>Property &amp; equipment, net</t>
  </si>
  <si>
    <t>Restricted cash</t>
  </si>
  <si>
    <t>Other non-current assets</t>
  </si>
  <si>
    <t>Total assets</t>
  </si>
  <si>
    <t>Accounts payable</t>
  </si>
  <si>
    <t>Accrued payroll &amp; related expenses</t>
  </si>
  <si>
    <t>Provision for sales returns</t>
  </si>
  <si>
    <t>Accrued professional services</t>
  </si>
  <si>
    <t>Recall replacement obligation</t>
  </si>
  <si>
    <t>Operating lease liability</t>
  </si>
  <si>
    <t>Accrued royalty expense</t>
  </si>
  <si>
    <t>Deferred revenue</t>
  </si>
  <si>
    <t>Accrued travel expenses</t>
  </si>
  <si>
    <t>Accrued clinical expenses</t>
  </si>
  <si>
    <t>Accrued other expenses</t>
  </si>
  <si>
    <t>Accrued liabilities</t>
  </si>
  <si>
    <t>Short-term debt</t>
  </si>
  <si>
    <t>Long-term debt</t>
  </si>
  <si>
    <t>Redeemable convertible preferred stock warrant liability</t>
  </si>
  <si>
    <t>Other liabilities</t>
  </si>
  <si>
    <t>Total liabilities</t>
  </si>
  <si>
    <t>Liquidation preference</t>
  </si>
  <si>
    <t>Common stock</t>
  </si>
  <si>
    <t>Additional paid-in capital</t>
  </si>
  <si>
    <t>Accumulated other comprehensive income (loss)</t>
  </si>
  <si>
    <t>Retained earnings (accumulated deficit)</t>
  </si>
  <si>
    <t>Total stockholders' equity (deficit)</t>
  </si>
  <si>
    <t xml:space="preserve">As Reported Annual Cash Flow </t>
  </si>
  <si>
    <t>Depreciation &amp; amortization expense</t>
  </si>
  <si>
    <t>Stock-based compensation expense</t>
  </si>
  <si>
    <t>Change in fair value of redeemable convertible preferred stock warrant liability</t>
  </si>
  <si>
    <t>Amortization of premiums (accretion of discounts) on investments, net</t>
  </si>
  <si>
    <t>Amortization of debt discount &amp; debt issuance costs</t>
  </si>
  <si>
    <t>Amortization of right-of-use asset</t>
  </si>
  <si>
    <t>Non-cash interest expense</t>
  </si>
  <si>
    <t>Loss (gain) on debt extinguishment</t>
  </si>
  <si>
    <t>Loss (gain) on disposal of property &amp; equipment</t>
  </si>
  <si>
    <t>Provision for doubtful accounts receivable</t>
  </si>
  <si>
    <t>Provision for excess &amp; obsolete inventories</t>
  </si>
  <si>
    <t>Accounts receivable</t>
  </si>
  <si>
    <t>Other assets</t>
  </si>
  <si>
    <t>Repayment of interest paid in kind</t>
  </si>
  <si>
    <t>Net cash flows from operating activities</t>
  </si>
  <si>
    <t>Purchase of property &amp; equipment</t>
  </si>
  <si>
    <t>Proceeds from sale of property &amp; equipment</t>
  </si>
  <si>
    <t>Purchases of investments</t>
  </si>
  <si>
    <t>Proceeds from maturity of investments</t>
  </si>
  <si>
    <t>Net cash flows from investing activities</t>
  </si>
  <si>
    <t>Proceeds from public offerings, net of underwriting discount, commissions &amp; offering costs paid</t>
  </si>
  <si>
    <t>Proceeds from long-term debt, net</t>
  </si>
  <si>
    <t>Proceeds from issuance of common stock</t>
  </si>
  <si>
    <t>Proceeds from issuance of redeemable convertible preferred stock, net of issuance costs</t>
  </si>
  <si>
    <t>Proceeds from exercise of redeemable convertible preferred stock warrants</t>
  </si>
  <si>
    <t>Proceeds from exercise of common stock warrants</t>
  </si>
  <si>
    <t>Principal repayment of long-term debt</t>
  </si>
  <si>
    <t>Payments of prepayment penalty &amp; lender fees</t>
  </si>
  <si>
    <t>Proceeds from disgorgement of short-swing profits, net</t>
  </si>
  <si>
    <t>Non-controlling interest</t>
  </si>
  <si>
    <t>Net cash flows from financing activities</t>
  </si>
  <si>
    <t>Net change in cash, cash equivalents &amp; restricted cash</t>
  </si>
  <si>
    <t>Cash, cash equivalents &amp; restricted cash, beginning of year</t>
  </si>
  <si>
    <t>Cash, cash equivalents &amp; restricted cash, end of year</t>
  </si>
  <si>
    <t>Cash paid for interest</t>
  </si>
  <si>
    <t>Fiscal year ends in December USD in thousands except per share data.</t>
  </si>
  <si>
    <t>COGS (as % of revenues)</t>
  </si>
  <si>
    <t>SG&amp;A expenses (as % of revenues)</t>
  </si>
  <si>
    <t>R&amp;D expenses (as % of revenues)</t>
  </si>
  <si>
    <t>Physicians Trained</t>
  </si>
  <si>
    <t>New Physicians</t>
  </si>
  <si>
    <t>Procedures</t>
  </si>
  <si>
    <t>Procedures/Physician</t>
  </si>
  <si>
    <t>Procedures/Physician(excl. new)</t>
  </si>
  <si>
    <t>Hospitals</t>
  </si>
  <si>
    <t>Sales Territories</t>
  </si>
  <si>
    <t>Hospitals/Territory</t>
  </si>
  <si>
    <t>Revenue/procedure</t>
  </si>
  <si>
    <t>Revenue/Physician</t>
  </si>
  <si>
    <t>Physician Growth</t>
  </si>
  <si>
    <t>Procedure growth</t>
  </si>
  <si>
    <t xml:space="preserve">Change in Usage </t>
  </si>
  <si>
    <t>Change in Usage (exclude new)</t>
  </si>
  <si>
    <t xml:space="preserve">Change in hospitals </t>
  </si>
  <si>
    <t>Change in Sales Territories</t>
  </si>
  <si>
    <t>Other Stats</t>
  </si>
  <si>
    <t xml:space="preserve">Board certified in 2021 (by State) </t>
  </si>
  <si>
    <t>% of market trained in 2021</t>
  </si>
  <si>
    <t>Total addressable Market (Procedure)</t>
  </si>
  <si>
    <t>New surgeons per year (approx)</t>
  </si>
  <si>
    <t>Notes</t>
  </si>
  <si>
    <t xml:space="preserve">1) At some point will need to train at replacement level as older physicians retire. Therefore total physicians trained will be overstated. </t>
  </si>
  <si>
    <t>x</t>
  </si>
  <si>
    <t>DILUTED SHARES</t>
  </si>
  <si>
    <t>Treasury with a Twist- All Outstanding Options</t>
  </si>
  <si>
    <t>Treasury Method- All Outstanding Options</t>
  </si>
  <si>
    <t>Basic share count</t>
  </si>
  <si>
    <t>Outstanding options</t>
  </si>
  <si>
    <t>Oustanding options</t>
  </si>
  <si>
    <t>Exercise price</t>
  </si>
  <si>
    <t>Current share price</t>
  </si>
  <si>
    <t>In-the-money options</t>
  </si>
  <si>
    <t>Total proceeds</t>
  </si>
  <si>
    <t>Total shares repurchased</t>
  </si>
  <si>
    <t>Unvested RSUs</t>
  </si>
  <si>
    <t>Diluted shares outstanding</t>
  </si>
  <si>
    <t>WACC</t>
  </si>
  <si>
    <t>Current</t>
  </si>
  <si>
    <t>Percent of Capital</t>
  </si>
  <si>
    <t>Total debt</t>
  </si>
  <si>
    <t>Share price</t>
  </si>
  <si>
    <t>Shares outstanding (thousands)</t>
  </si>
  <si>
    <t xml:space="preserve">***Note: This should likely be set equal to our diluted shares oustanding from above. </t>
  </si>
  <si>
    <t>Market value of equity</t>
  </si>
  <si>
    <t>Weight of debt</t>
  </si>
  <si>
    <t>Weight of equity</t>
  </si>
  <si>
    <t>Cost of debt</t>
  </si>
  <si>
    <t>Interest Coverage Ratio</t>
  </si>
  <si>
    <t>Default Spread</t>
  </si>
  <si>
    <t>Pre-tax cost of debt</t>
  </si>
  <si>
    <t>Marginal tax rate</t>
  </si>
  <si>
    <t>Cost of equity</t>
  </si>
  <si>
    <t>Risk-free rate</t>
  </si>
  <si>
    <t>Market risk premium (Rm - Rf)</t>
  </si>
  <si>
    <t>Beta</t>
  </si>
  <si>
    <t>Weighted average cost of capital</t>
  </si>
  <si>
    <t>BOTTOM UP BETA</t>
  </si>
  <si>
    <t>MV</t>
  </si>
  <si>
    <t>Book Value</t>
  </si>
  <si>
    <t>Debt/</t>
  </si>
  <si>
    <t>Reg</t>
  </si>
  <si>
    <t>Unlevered</t>
  </si>
  <si>
    <t xml:space="preserve">Marginal </t>
  </si>
  <si>
    <t>Company</t>
  </si>
  <si>
    <t>Ticker</t>
  </si>
  <si>
    <t>Equity</t>
  </si>
  <si>
    <t>Debt</t>
  </si>
  <si>
    <t>Tax Rate</t>
  </si>
  <si>
    <t xml:space="preserve">LeMaitre Vascular Inc </t>
  </si>
  <si>
    <t>LMAT</t>
  </si>
  <si>
    <t>Pulmonx Corp</t>
  </si>
  <si>
    <t>LUNG</t>
  </si>
  <si>
    <t>AngioDynamics Inc</t>
  </si>
  <si>
    <t>ANGO</t>
  </si>
  <si>
    <t>Atrion Corp</t>
  </si>
  <si>
    <t>ATRI</t>
  </si>
  <si>
    <t>Inari Medical Inc</t>
  </si>
  <si>
    <t>NARI</t>
  </si>
  <si>
    <t>Average unlevered beta</t>
  </si>
  <si>
    <t>SENSITIVITY ANALYSIS</t>
  </si>
  <si>
    <t>2031 % of market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</si>
</sst>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164" formatCode="&quot;$&quot;#,##0.0_);\(&quot;$&quot;#,##0.0\)"/>
    <numFmt numFmtId="165" formatCode="0.0%_);\(0.0%\)"/>
    <numFmt numFmtId="166" formatCode="#,##0.0_);\(#,##0.0\)"/>
    <numFmt numFmtId="167" formatCode="0.0\x"/>
    <numFmt numFmtId="168" formatCode="0&quot;A&quot;"/>
    <numFmt numFmtId="169" formatCode="0&quot;E&quot;"/>
    <numFmt numFmtId="170" formatCode="0.000"/>
    <numFmt numFmtId="171" formatCode="0.0%"/>
    <numFmt numFmtId="172" formatCode="_(0.0%_);\(0.0%\)"/>
    <numFmt numFmtId="173" formatCode="[$-409]d\-mmm\-yy;@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color rgb="FF0070C0"/>
      <name val="Times New Roman"/>
      <family val="1"/>
    </font>
    <font>
      <b/>
      <sz val="11"/>
      <color theme="1"/>
      <name val="Times New Roman"/>
      <family val="1"/>
    </font>
    <font>
      <sz val="11"/>
      <color rgb="FF0070C0"/>
      <name val="Times New Roman"/>
      <family val="1"/>
    </font>
    <font>
      <sz val="11"/>
      <name val="Times New Roman"/>
      <family val="1"/>
    </font>
    <font>
      <b/>
      <sz val="11"/>
      <color theme="0"/>
      <name val="Times New Roman"/>
      <family val="1"/>
    </font>
    <font>
      <b/>
      <i/>
      <sz val="11"/>
      <color theme="0"/>
      <name val="Times New Roman"/>
      <family val="1"/>
    </font>
    <font>
      <sz val="11"/>
      <color rgb="FF00B050"/>
      <name val="Times New Roman"/>
      <family val="1"/>
    </font>
    <font>
      <i/>
      <sz val="11"/>
      <color theme="1"/>
      <name val="Times New Roman"/>
      <family val="1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b/>
      <sz val="16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1"/>
      <color theme="4"/>
      <name val="Times New Roman"/>
      <family val="1"/>
    </font>
    <font>
      <sz val="11"/>
      <color theme="4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4">
    <xf numFmtId="0" fontId="0" fillId="0" borderId="0" applyFill="0"/>
    <xf numFmtId="0" fontId="1" fillId="0" borderId="0"/>
    <xf numFmtId="0" fontId="12" fillId="0" borderId="0"/>
    <xf numFmtId="0" fontId="16" fillId="0" borderId="0" applyFill="0"/>
  </cellStyleXfs>
  <cellXfs count="131">
    <xf numFmtId="0" fontId="0" fillId="0" borderId="0" xfId="0"/>
    <xf numFmtId="0" fontId="2" fillId="0" borderId="0" xfId="1" applyFont="1"/>
    <xf numFmtId="166" fontId="2" fillId="0" borderId="0" xfId="1" applyNumberFormat="1" applyFont="1"/>
    <xf numFmtId="0" fontId="5" fillId="0" borderId="0" xfId="1" applyFont="1"/>
    <xf numFmtId="0" fontId="8" fillId="2" borderId="0" xfId="1" applyFont="1" applyFill="1" applyAlignment="1">
      <alignment horizontal="centerContinuous"/>
    </xf>
    <xf numFmtId="0" fontId="9" fillId="2" borderId="0" xfId="1" applyFont="1" applyFill="1" applyAlignment="1">
      <alignment horizontal="centerContinuous"/>
    </xf>
    <xf numFmtId="165" fontId="2" fillId="0" borderId="0" xfId="1" applyNumberFormat="1" applyFont="1"/>
    <xf numFmtId="165" fontId="6" fillId="0" borderId="0" xfId="1" applyNumberFormat="1" applyFont="1"/>
    <xf numFmtId="0" fontId="2" fillId="0" borderId="2" xfId="1" applyFont="1" applyBorder="1"/>
    <xf numFmtId="0" fontId="2" fillId="0" borderId="4" xfId="1" applyFont="1" applyBorder="1"/>
    <xf numFmtId="166" fontId="2" fillId="0" borderId="5" xfId="1" applyNumberFormat="1" applyFont="1" applyBorder="1"/>
    <xf numFmtId="0" fontId="2" fillId="0" borderId="6" xfId="1" applyFont="1" applyBorder="1"/>
    <xf numFmtId="0" fontId="2" fillId="0" borderId="7" xfId="1" applyFont="1" applyBorder="1"/>
    <xf numFmtId="0" fontId="2" fillId="0" borderId="8" xfId="1" applyFont="1" applyBorder="1"/>
    <xf numFmtId="0" fontId="5" fillId="0" borderId="9" xfId="1" applyFont="1" applyBorder="1"/>
    <xf numFmtId="165" fontId="2" fillId="0" borderId="5" xfId="1" applyNumberFormat="1" applyFont="1" applyBorder="1"/>
    <xf numFmtId="0" fontId="5" fillId="0" borderId="0" xfId="1" applyFont="1" applyAlignment="1">
      <alignment horizontal="center"/>
    </xf>
    <xf numFmtId="0" fontId="5" fillId="0" borderId="7" xfId="1" applyFont="1" applyBorder="1" applyAlignment="1">
      <alignment horizontal="center"/>
    </xf>
    <xf numFmtId="168" fontId="3" fillId="0" borderId="0" xfId="1" applyNumberFormat="1" applyFont="1" applyAlignment="1">
      <alignment horizontal="center"/>
    </xf>
    <xf numFmtId="0" fontId="5" fillId="0" borderId="10" xfId="1" applyFont="1" applyBorder="1" applyAlignment="1">
      <alignment horizontal="centerContinuous"/>
    </xf>
    <xf numFmtId="0" fontId="5" fillId="0" borderId="1" xfId="1" applyFont="1" applyBorder="1" applyAlignment="1">
      <alignment horizontal="centerContinuous"/>
    </xf>
    <xf numFmtId="0" fontId="5" fillId="0" borderId="11" xfId="1" applyFont="1" applyBorder="1" applyAlignment="1">
      <alignment horizontal="centerContinuous"/>
    </xf>
    <xf numFmtId="164" fontId="2" fillId="0" borderId="0" xfId="1" applyNumberFormat="1" applyFont="1"/>
    <xf numFmtId="164" fontId="2" fillId="0" borderId="5" xfId="1" applyNumberFormat="1" applyFont="1" applyBorder="1"/>
    <xf numFmtId="166" fontId="10" fillId="0" borderId="5" xfId="1" applyNumberFormat="1" applyFont="1" applyBorder="1"/>
    <xf numFmtId="5" fontId="2" fillId="0" borderId="0" xfId="1" applyNumberFormat="1" applyFont="1"/>
    <xf numFmtId="9" fontId="2" fillId="0" borderId="0" xfId="1" applyNumberFormat="1" applyFont="1"/>
    <xf numFmtId="164" fontId="2" fillId="0" borderId="3" xfId="1" applyNumberFormat="1" applyFont="1" applyBorder="1"/>
    <xf numFmtId="166" fontId="7" fillId="0" borderId="5" xfId="1" applyNumberFormat="1" applyFont="1" applyBorder="1"/>
    <xf numFmtId="165" fontId="7" fillId="0" borderId="5" xfId="1" applyNumberFormat="1" applyFont="1" applyBorder="1"/>
    <xf numFmtId="167" fontId="6" fillId="0" borderId="5" xfId="1" applyNumberFormat="1" applyFont="1" applyBorder="1"/>
    <xf numFmtId="165" fontId="6" fillId="0" borderId="5" xfId="1" applyNumberFormat="1" applyFont="1" applyBorder="1"/>
    <xf numFmtId="166" fontId="6" fillId="0" borderId="0" xfId="1" applyNumberFormat="1" applyFont="1"/>
    <xf numFmtId="0" fontId="3" fillId="0" borderId="0" xfId="1" applyFont="1" applyAlignment="1">
      <alignment horizontal="center"/>
    </xf>
    <xf numFmtId="166" fontId="7" fillId="0" borderId="0" xfId="1" applyNumberFormat="1" applyFont="1"/>
    <xf numFmtId="9" fontId="6" fillId="0" borderId="0" xfId="1" applyNumberFormat="1" applyFont="1"/>
    <xf numFmtId="0" fontId="5" fillId="0" borderId="8" xfId="1" applyFont="1" applyBorder="1"/>
    <xf numFmtId="169" fontId="5" fillId="0" borderId="8" xfId="1" applyNumberFormat="1" applyFont="1" applyBorder="1" applyAlignment="1">
      <alignment horizontal="center"/>
    </xf>
    <xf numFmtId="168" fontId="5" fillId="0" borderId="7" xfId="1" applyNumberFormat="1" applyFont="1" applyBorder="1" applyAlignment="1">
      <alignment horizontal="center"/>
    </xf>
    <xf numFmtId="168" fontId="5" fillId="0" borderId="8" xfId="1" applyNumberFormat="1" applyFont="1" applyBorder="1" applyAlignment="1">
      <alignment horizontal="center"/>
    </xf>
    <xf numFmtId="168" fontId="4" fillId="0" borderId="8" xfId="1" applyNumberFormat="1" applyFont="1" applyBorder="1" applyAlignment="1">
      <alignment horizontal="center"/>
    </xf>
    <xf numFmtId="0" fontId="11" fillId="0" borderId="0" xfId="1" applyFont="1"/>
    <xf numFmtId="0" fontId="13" fillId="0" borderId="0" xfId="2" applyFont="1" applyAlignment="1">
      <alignment horizontal="left"/>
    </xf>
    <xf numFmtId="0" fontId="12" fillId="0" borderId="0" xfId="2"/>
    <xf numFmtId="0" fontId="14" fillId="0" borderId="0" xfId="2" applyFont="1" applyAlignment="1">
      <alignment horizontal="left"/>
    </xf>
    <xf numFmtId="0" fontId="12" fillId="0" borderId="0" xfId="2" applyAlignment="1">
      <alignment horizontal="left" vertical="top" wrapText="1"/>
    </xf>
    <xf numFmtId="0" fontId="15" fillId="0" borderId="0" xfId="2" applyFont="1" applyAlignment="1">
      <alignment vertical="top" wrapText="1"/>
    </xf>
    <xf numFmtId="0" fontId="15" fillId="0" borderId="0" xfId="2" applyFont="1" applyAlignment="1">
      <alignment horizontal="left" vertical="top"/>
    </xf>
    <xf numFmtId="0" fontId="15" fillId="0" borderId="0" xfId="2" applyFont="1" applyAlignment="1">
      <alignment horizontal="right" vertical="top" wrapText="1"/>
    </xf>
    <xf numFmtId="0" fontId="12" fillId="0" borderId="0" xfId="2" applyAlignment="1">
      <alignment horizontal="left"/>
    </xf>
    <xf numFmtId="1" fontId="12" fillId="0" borderId="0" xfId="2" applyNumberFormat="1"/>
    <xf numFmtId="0" fontId="12" fillId="0" borderId="0" xfId="2" applyAlignment="1">
      <alignment horizontal="right"/>
    </xf>
    <xf numFmtId="170" fontId="12" fillId="0" borderId="0" xfId="2" applyNumberFormat="1"/>
    <xf numFmtId="2" fontId="12" fillId="0" borderId="0" xfId="2" applyNumberFormat="1"/>
    <xf numFmtId="37" fontId="10" fillId="0" borderId="0" xfId="1" applyNumberFormat="1" applyFont="1"/>
    <xf numFmtId="37" fontId="10" fillId="0" borderId="5" xfId="1" applyNumberFormat="1" applyFont="1" applyBorder="1"/>
    <xf numFmtId="37" fontId="2" fillId="0" borderId="0" xfId="1" applyNumberFormat="1" applyFont="1"/>
    <xf numFmtId="37" fontId="7" fillId="0" borderId="0" xfId="1" applyNumberFormat="1" applyFont="1"/>
    <xf numFmtId="37" fontId="7" fillId="0" borderId="5" xfId="1" applyNumberFormat="1" applyFont="1" applyBorder="1"/>
    <xf numFmtId="37" fontId="10" fillId="0" borderId="3" xfId="1" applyNumberFormat="1" applyFont="1" applyBorder="1"/>
    <xf numFmtId="37" fontId="2" fillId="0" borderId="4" xfId="1" applyNumberFormat="1" applyFont="1" applyBorder="1"/>
    <xf numFmtId="37" fontId="2" fillId="0" borderId="2" xfId="1" applyNumberFormat="1" applyFont="1" applyBorder="1"/>
    <xf numFmtId="37" fontId="7" fillId="0" borderId="8" xfId="1" applyNumberFormat="1" applyFont="1" applyBorder="1"/>
    <xf numFmtId="37" fontId="7" fillId="0" borderId="7" xfId="1" applyNumberFormat="1" applyFont="1" applyBorder="1"/>
    <xf numFmtId="37" fontId="7" fillId="0" borderId="2" xfId="1" applyNumberFormat="1" applyFont="1" applyBorder="1"/>
    <xf numFmtId="42" fontId="10" fillId="0" borderId="0" xfId="1" applyNumberFormat="1" applyFont="1"/>
    <xf numFmtId="42" fontId="10" fillId="0" borderId="5" xfId="1" applyNumberFormat="1" applyFont="1" applyBorder="1"/>
    <xf numFmtId="42" fontId="2" fillId="0" borderId="0" xfId="1" applyNumberFormat="1" applyFont="1"/>
    <xf numFmtId="42" fontId="7" fillId="0" borderId="0" xfId="1" applyNumberFormat="1" applyFont="1"/>
    <xf numFmtId="42" fontId="7" fillId="0" borderId="5" xfId="1" applyNumberFormat="1" applyFont="1" applyBorder="1"/>
    <xf numFmtId="37" fontId="2" fillId="0" borderId="5" xfId="1" applyNumberFormat="1" applyFont="1" applyBorder="1"/>
    <xf numFmtId="42" fontId="2" fillId="0" borderId="5" xfId="1" applyNumberFormat="1" applyFont="1" applyBorder="1"/>
    <xf numFmtId="0" fontId="7" fillId="0" borderId="2" xfId="3" applyFont="1" applyBorder="1"/>
    <xf numFmtId="0" fontId="3" fillId="0" borderId="2" xfId="3" applyFont="1" applyBorder="1"/>
    <xf numFmtId="0" fontId="17" fillId="0" borderId="2" xfId="3" applyFont="1" applyBorder="1"/>
    <xf numFmtId="0" fontId="17" fillId="0" borderId="3" xfId="3" applyFont="1" applyBorder="1"/>
    <xf numFmtId="0" fontId="16" fillId="0" borderId="0" xfId="3"/>
    <xf numFmtId="0" fontId="7" fillId="0" borderId="0" xfId="3" applyFont="1"/>
    <xf numFmtId="37" fontId="7" fillId="0" borderId="0" xfId="3" applyNumberFormat="1" applyFont="1"/>
    <xf numFmtId="37" fontId="7" fillId="0" borderId="5" xfId="3" applyNumberFormat="1" applyFont="1" applyBorder="1"/>
    <xf numFmtId="37" fontId="18" fillId="0" borderId="0" xfId="3" applyNumberFormat="1" applyFont="1" applyFill="1"/>
    <xf numFmtId="39" fontId="7" fillId="0" borderId="0" xfId="3" applyNumberFormat="1" applyFont="1"/>
    <xf numFmtId="39" fontId="7" fillId="0" borderId="5" xfId="3" applyNumberFormat="1" applyFont="1" applyBorder="1"/>
    <xf numFmtId="37" fontId="18" fillId="0" borderId="0" xfId="3" applyNumberFormat="1" applyFont="1"/>
    <xf numFmtId="39" fontId="18" fillId="0" borderId="0" xfId="3" applyNumberFormat="1" applyFont="1"/>
    <xf numFmtId="172" fontId="7" fillId="0" borderId="0" xfId="3" applyNumberFormat="1" applyFont="1"/>
    <xf numFmtId="172" fontId="18" fillId="0" borderId="0" xfId="3" applyNumberFormat="1" applyFont="1"/>
    <xf numFmtId="0" fontId="18" fillId="0" borderId="0" xfId="3" applyFont="1"/>
    <xf numFmtId="0" fontId="3" fillId="0" borderId="0" xfId="3" applyFont="1"/>
    <xf numFmtId="0" fontId="9" fillId="2" borderId="0" xfId="2" applyFont="1" applyFill="1" applyAlignment="1">
      <alignment horizontal="centerContinuous"/>
    </xf>
    <xf numFmtId="0" fontId="8" fillId="2" borderId="0" xfId="2" applyFont="1" applyFill="1" applyAlignment="1">
      <alignment horizontal="centerContinuous"/>
    </xf>
    <xf numFmtId="0" fontId="7" fillId="0" borderId="0" xfId="1" applyFont="1"/>
    <xf numFmtId="0" fontId="7" fillId="0" borderId="0" xfId="0" applyFont="1" applyFill="1"/>
    <xf numFmtId="0" fontId="5" fillId="0" borderId="9" xfId="2" applyFont="1" applyBorder="1"/>
    <xf numFmtId="0" fontId="2" fillId="0" borderId="8" xfId="2" applyFont="1" applyBorder="1"/>
    <xf numFmtId="0" fontId="7" fillId="0" borderId="8" xfId="2" applyFont="1" applyBorder="1"/>
    <xf numFmtId="0" fontId="7" fillId="0" borderId="7" xfId="2" applyFont="1" applyBorder="1"/>
    <xf numFmtId="0" fontId="3" fillId="0" borderId="9" xfId="2" applyFont="1" applyBorder="1"/>
    <xf numFmtId="0" fontId="2" fillId="0" borderId="6" xfId="2" applyFont="1" applyBorder="1"/>
    <xf numFmtId="0" fontId="2" fillId="0" borderId="0" xfId="2" applyFont="1"/>
    <xf numFmtId="0" fontId="7" fillId="0" borderId="0" xfId="2" applyFont="1"/>
    <xf numFmtId="37" fontId="18" fillId="0" borderId="5" xfId="0" applyNumberFormat="1" applyFont="1" applyBorder="1"/>
    <xf numFmtId="0" fontId="7" fillId="0" borderId="6" xfId="2" applyFont="1" applyBorder="1"/>
    <xf numFmtId="8" fontId="18" fillId="0" borderId="5" xfId="0" applyNumberFormat="1" applyFont="1" applyBorder="1"/>
    <xf numFmtId="0" fontId="7" fillId="0" borderId="5" xfId="0" applyFont="1" applyBorder="1"/>
    <xf numFmtId="37" fontId="7" fillId="0" borderId="5" xfId="0" applyNumberFormat="1" applyFont="1" applyBorder="1"/>
    <xf numFmtId="6" fontId="7" fillId="0" borderId="5" xfId="0" applyNumberFormat="1" applyFont="1" applyBorder="1"/>
    <xf numFmtId="0" fontId="2" fillId="0" borderId="4" xfId="2" applyFont="1" applyBorder="1"/>
    <xf numFmtId="0" fontId="2" fillId="0" borderId="2" xfId="2" applyFont="1" applyBorder="1"/>
    <xf numFmtId="164" fontId="2" fillId="0" borderId="3" xfId="2" applyNumberFormat="1" applyFont="1" applyBorder="1"/>
    <xf numFmtId="0" fontId="9" fillId="0" borderId="0" xfId="1" applyFont="1" applyAlignment="1">
      <alignment horizontal="centerContinuous"/>
    </xf>
    <xf numFmtId="0" fontId="8" fillId="0" borderId="0" xfId="1" applyFont="1" applyAlignment="1">
      <alignment horizontal="centerContinuous"/>
    </xf>
    <xf numFmtId="0" fontId="5" fillId="0" borderId="0" xfId="0" applyFont="1"/>
    <xf numFmtId="0" fontId="2" fillId="0" borderId="0" xfId="0" applyFont="1"/>
    <xf numFmtId="0" fontId="7" fillId="0" borderId="0" xfId="0" applyFont="1"/>
    <xf numFmtId="171" fontId="7" fillId="0" borderId="0" xfId="0" applyNumberFormat="1" applyFont="1"/>
    <xf numFmtId="172" fontId="18" fillId="0" borderId="0" xfId="0" applyNumberFormat="1" applyFont="1"/>
    <xf numFmtId="39" fontId="7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12" xfId="0" applyFont="1" applyBorder="1"/>
    <xf numFmtId="173" fontId="5" fillId="0" borderId="12" xfId="0" applyNumberFormat="1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166" fontId="6" fillId="0" borderId="0" xfId="0" applyNumberFormat="1" applyFont="1"/>
    <xf numFmtId="166" fontId="6" fillId="0" borderId="0" xfId="0" applyNumberFormat="1" applyFont="1" applyFill="1"/>
    <xf numFmtId="2" fontId="2" fillId="0" borderId="0" xfId="0" applyNumberFormat="1" applyFont="1"/>
    <xf numFmtId="39" fontId="6" fillId="0" borderId="0" xfId="0" applyNumberFormat="1" applyFont="1" applyFill="1"/>
    <xf numFmtId="39" fontId="2" fillId="0" borderId="0" xfId="0" applyNumberFormat="1" applyFont="1"/>
    <xf numFmtId="166" fontId="2" fillId="0" borderId="0" xfId="0" applyNumberFormat="1" applyFont="1"/>
    <xf numFmtId="171" fontId="2" fillId="0" borderId="0" xfId="0" applyNumberFormat="1" applyFont="1"/>
    <xf numFmtId="39" fontId="5" fillId="0" borderId="0" xfId="0" applyNumberFormat="1" applyFont="1"/>
  </cellXfs>
  <cellStyles count="4">
    <cellStyle name="Normal" xfId="0" builtinId="0"/>
    <cellStyle name="Normal 2" xfId="1" xr:uid="{00000000-0005-0000-0000-000001000000}"/>
    <cellStyle name="Normal 2 2" xfId="2" xr:uid="{71BF252B-B29D-4A0E-A8D5-1F55FF0B8063}"/>
    <cellStyle name="Normal 3" xfId="3" xr:uid="{C5A2F2B2-414B-4284-A4DE-F8E4D867AD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76250" cy="476250"/>
    <xdr:pic>
      <xdr:nvPicPr>
        <xdr:cNvPr id="2" name="Logo" descr="Logo">
          <a:extLst>
            <a:ext uri="{FF2B5EF4-FFF2-40B4-BE49-F238E27FC236}">
              <a16:creationId xmlns:a16="http://schemas.microsoft.com/office/drawing/2014/main" id="{B9A01F27-A94C-4685-8BB8-E081425125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76250" cy="47625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76250" cy="476250"/>
    <xdr:pic>
      <xdr:nvPicPr>
        <xdr:cNvPr id="2" name="Logo" descr="Logo">
          <a:extLst>
            <a:ext uri="{FF2B5EF4-FFF2-40B4-BE49-F238E27FC236}">
              <a16:creationId xmlns:a16="http://schemas.microsoft.com/office/drawing/2014/main" id="{92D2E9F0-296A-4223-A0A5-759F7AB662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76250" cy="47625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76250" cy="476250"/>
    <xdr:pic>
      <xdr:nvPicPr>
        <xdr:cNvPr id="2" name="Logo" descr="Logo">
          <a:extLst>
            <a:ext uri="{FF2B5EF4-FFF2-40B4-BE49-F238E27FC236}">
              <a16:creationId xmlns:a16="http://schemas.microsoft.com/office/drawing/2014/main" id="{9652CFA3-E575-4F69-92C7-E9277F06C2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76250" cy="4762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X135"/>
  <sheetViews>
    <sheetView showGridLines="0" tabSelected="1" topLeftCell="A72" zoomScaleNormal="100" workbookViewId="0">
      <selection activeCell="F125" sqref="F125"/>
    </sheetView>
  </sheetViews>
  <sheetFormatPr defaultColWidth="9.21875" defaultRowHeight="13.8" outlineLevelRow="1" x14ac:dyDescent="0.25"/>
  <cols>
    <col min="1" max="1" width="3.77734375" style="1" customWidth="1"/>
    <col min="2" max="2" width="30" style="1" customWidth="1"/>
    <col min="3" max="3" width="5.5546875" style="1" customWidth="1"/>
    <col min="4" max="4" width="8.5546875" style="1" customWidth="1"/>
    <col min="5" max="5" width="9.77734375" style="1" customWidth="1"/>
    <col min="6" max="7" width="11.109375" style="1" bestFit="1" customWidth="1"/>
    <col min="8" max="20" width="11.5546875" style="1" bestFit="1" customWidth="1"/>
    <col min="21" max="16384" width="9.21875" style="1"/>
  </cols>
  <sheetData>
    <row r="2" spans="2:20" x14ac:dyDescent="0.25">
      <c r="B2" s="3" t="s">
        <v>44</v>
      </c>
    </row>
    <row r="3" spans="2:20" x14ac:dyDescent="0.25">
      <c r="B3" s="41" t="s">
        <v>166</v>
      </c>
      <c r="D3" s="41"/>
      <c r="E3" s="41"/>
    </row>
    <row r="4" spans="2:20" x14ac:dyDescent="0.25">
      <c r="B4" s="41"/>
      <c r="D4" s="41"/>
      <c r="E4" s="41"/>
    </row>
    <row r="5" spans="2:20" ht="14.4" x14ac:dyDescent="0.3">
      <c r="B5" s="5" t="s">
        <v>43</v>
      </c>
      <c r="C5" s="4"/>
      <c r="D5" s="5"/>
      <c r="E5" s="5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2:20" outlineLevel="1" x14ac:dyDescent="0.25">
      <c r="C6" s="41"/>
      <c r="D6" s="41"/>
      <c r="E6" s="41"/>
    </row>
    <row r="7" spans="2:20" outlineLevel="1" x14ac:dyDescent="0.25">
      <c r="B7" s="41"/>
      <c r="C7" s="41"/>
      <c r="D7" s="41"/>
      <c r="E7" s="41"/>
      <c r="F7" s="21" t="s">
        <v>6</v>
      </c>
      <c r="G7" s="20"/>
      <c r="H7" s="20"/>
      <c r="I7" s="20"/>
      <c r="J7" s="19"/>
      <c r="K7" s="21" t="s">
        <v>5</v>
      </c>
      <c r="L7" s="20"/>
      <c r="M7" s="20"/>
      <c r="N7" s="20"/>
      <c r="O7" s="19"/>
      <c r="P7" s="19"/>
      <c r="Q7" s="19"/>
      <c r="R7" s="19"/>
      <c r="S7" s="19"/>
      <c r="T7" s="19"/>
    </row>
    <row r="8" spans="2:20" outlineLevel="1" x14ac:dyDescent="0.25">
      <c r="B8" s="41"/>
      <c r="C8" s="41"/>
      <c r="D8" s="41"/>
      <c r="E8" s="41"/>
      <c r="F8" s="40">
        <v>2017</v>
      </c>
      <c r="G8" s="39">
        <f>F8+1</f>
        <v>2018</v>
      </c>
      <c r="H8" s="39">
        <f t="shared" ref="H8:Q8" si="0">G8+1</f>
        <v>2019</v>
      </c>
      <c r="I8" s="39">
        <f t="shared" si="0"/>
        <v>2020</v>
      </c>
      <c r="J8" s="38">
        <f t="shared" si="0"/>
        <v>2021</v>
      </c>
      <c r="K8" s="37">
        <f t="shared" si="0"/>
        <v>2022</v>
      </c>
      <c r="L8" s="37">
        <f t="shared" si="0"/>
        <v>2023</v>
      </c>
      <c r="M8" s="37">
        <f t="shared" si="0"/>
        <v>2024</v>
      </c>
      <c r="N8" s="37">
        <f t="shared" si="0"/>
        <v>2025</v>
      </c>
      <c r="O8" s="37">
        <f t="shared" si="0"/>
        <v>2026</v>
      </c>
      <c r="P8" s="37">
        <f t="shared" si="0"/>
        <v>2027</v>
      </c>
      <c r="Q8" s="37">
        <f t="shared" si="0"/>
        <v>2028</v>
      </c>
      <c r="R8" s="37">
        <f t="shared" ref="R8" si="1">Q8+1</f>
        <v>2029</v>
      </c>
      <c r="S8" s="37">
        <f t="shared" ref="S8" si="2">R8+1</f>
        <v>2030</v>
      </c>
      <c r="T8" s="37">
        <f t="shared" ref="T8" si="3">S8+1</f>
        <v>2031</v>
      </c>
    </row>
    <row r="9" spans="2:20" outlineLevel="1" x14ac:dyDescent="0.25">
      <c r="B9" s="1" t="s">
        <v>64</v>
      </c>
      <c r="F9" s="65">
        <f>INDEX(SILK_IS!$A$10:$F$39,MATCH(SILK_DCF!$B9,SILK_IS!$A$10:$A$39,0),MATCH(SILK_DCF!F$8,SILK_IS!$A$10:$F$10,0))</f>
        <v>14258</v>
      </c>
      <c r="G9" s="65">
        <f>INDEX(SILK_IS!$A$10:$F$39,MATCH(SILK_DCF!$B9,SILK_IS!$A$10:$A$39,0),MATCH(SILK_DCF!G$8,SILK_IS!$A$10:$F$10,0))</f>
        <v>34557</v>
      </c>
      <c r="H9" s="65">
        <f>INDEX(SILK_IS!$A$10:$F$39,MATCH(SILK_DCF!$B9,SILK_IS!$A$10:$A$39,0),MATCH(SILK_DCF!H$8,SILK_IS!$A$10:$F$10,0))</f>
        <v>63354</v>
      </c>
      <c r="I9" s="65">
        <f>INDEX(SILK_IS!$A$10:$F$39,MATCH(SILK_DCF!$B9,SILK_IS!$A$10:$A$39,0),MATCH(SILK_DCF!I$8,SILK_IS!$A$10:$F$10,0))</f>
        <v>75227</v>
      </c>
      <c r="J9" s="66">
        <f>INDEX(SILK_IS!$A$10:$F$39,MATCH(SILK_DCF!$B9,SILK_IS!$A$10:$A$39,0),MATCH(SILK_DCF!J$8,SILK_IS!$A$10:$F$10,0))</f>
        <v>101475</v>
      </c>
      <c r="K9" s="67">
        <f>J9*(1+K28)</f>
        <v>131917.5</v>
      </c>
      <c r="L9" s="67">
        <f t="shared" ref="L9:T9" si="4">K9*(1+L28)</f>
        <v>171492.75</v>
      </c>
      <c r="M9" s="67">
        <f t="shared" si="4"/>
        <v>214365.9375</v>
      </c>
      <c r="N9" s="67">
        <f t="shared" si="4"/>
        <v>263670.10312500002</v>
      </c>
      <c r="O9" s="67">
        <f t="shared" si="4"/>
        <v>316404.12375000003</v>
      </c>
      <c r="P9" s="67">
        <f t="shared" si="4"/>
        <v>363864.74231250002</v>
      </c>
      <c r="Q9" s="67">
        <f t="shared" si="4"/>
        <v>400251.21654375008</v>
      </c>
      <c r="R9" s="67">
        <f t="shared" si="4"/>
        <v>440276.33819812513</v>
      </c>
      <c r="S9" s="67">
        <f t="shared" si="4"/>
        <v>475498.44525397517</v>
      </c>
      <c r="T9" s="67">
        <f t="shared" si="4"/>
        <v>513538.32087429322</v>
      </c>
    </row>
    <row r="10" spans="2:20" outlineLevel="1" x14ac:dyDescent="0.25">
      <c r="B10" s="1" t="s">
        <v>65</v>
      </c>
      <c r="F10" s="54">
        <f>INDEX(SILK_IS!$A$10:$F$39,MATCH(SILK_DCF!$B10,SILK_IS!$A$10:$A$39,0),MATCH(SILK_DCF!F$8,SILK_IS!$A$10:$F$10,0))</f>
        <v>5129</v>
      </c>
      <c r="G10" s="54">
        <f>INDEX(SILK_IS!$A$10:$F$39,MATCH(SILK_DCF!$B10,SILK_IS!$A$10:$A$39,0),MATCH(SILK_DCF!G$8,SILK_IS!$A$10:$F$10,0))</f>
        <v>10874</v>
      </c>
      <c r="H10" s="54">
        <f>INDEX(SILK_IS!$A$10:$F$39,MATCH(SILK_DCF!$B10,SILK_IS!$A$10:$A$39,0),MATCH(SILK_DCF!H$8,SILK_IS!$A$10:$F$10,0))</f>
        <v>15927</v>
      </c>
      <c r="I10" s="54">
        <f>INDEX(SILK_IS!$A$10:$F$39,MATCH(SILK_DCF!$B10,SILK_IS!$A$10:$A$39,0),MATCH(SILK_DCF!I$8,SILK_IS!$A$10:$F$10,0))</f>
        <v>21291</v>
      </c>
      <c r="J10" s="55">
        <f>INDEX(SILK_IS!$A$10:$F$39,MATCH(SILK_DCF!$B10,SILK_IS!$A$10:$A$39,0),MATCH(SILK_DCF!J$8,SILK_IS!$A$10:$F$10,0))</f>
        <v>25446</v>
      </c>
      <c r="K10" s="56">
        <f>K9*K29</f>
        <v>32979.375</v>
      </c>
      <c r="L10" s="56">
        <f t="shared" ref="L10:T10" si="5">L9*L29</f>
        <v>42492.092499999999</v>
      </c>
      <c r="M10" s="56">
        <f t="shared" si="5"/>
        <v>52638.746875000004</v>
      </c>
      <c r="N10" s="56">
        <f t="shared" si="5"/>
        <v>64159.725093750014</v>
      </c>
      <c r="O10" s="56">
        <f t="shared" si="5"/>
        <v>76288.549837500017</v>
      </c>
      <c r="P10" s="56">
        <f t="shared" si="5"/>
        <v>86923.243996875026</v>
      </c>
      <c r="Q10" s="56">
        <f t="shared" si="5"/>
        <v>94726.121248687545</v>
      </c>
      <c r="R10" s="56">
        <f t="shared" si="5"/>
        <v>103220.34151089382</v>
      </c>
      <c r="S10" s="56">
        <f t="shared" si="5"/>
        <v>110421.30562008984</v>
      </c>
      <c r="T10" s="56">
        <f t="shared" si="5"/>
        <v>118113.8138010875</v>
      </c>
    </row>
    <row r="11" spans="2:20" outlineLevel="1" x14ac:dyDescent="0.25">
      <c r="B11" s="3" t="s">
        <v>42</v>
      </c>
      <c r="F11" s="57">
        <f>F9-F10</f>
        <v>9129</v>
      </c>
      <c r="G11" s="57">
        <f t="shared" ref="G11:K11" si="6">G9-G10</f>
        <v>23683</v>
      </c>
      <c r="H11" s="57">
        <f t="shared" si="6"/>
        <v>47427</v>
      </c>
      <c r="I11" s="57">
        <f t="shared" si="6"/>
        <v>53936</v>
      </c>
      <c r="J11" s="58">
        <f t="shared" si="6"/>
        <v>76029</v>
      </c>
      <c r="K11" s="57">
        <f t="shared" si="6"/>
        <v>98938.125</v>
      </c>
      <c r="L11" s="57">
        <f t="shared" ref="L11" si="7">L9-L10</f>
        <v>129000.6575</v>
      </c>
      <c r="M11" s="57">
        <f t="shared" ref="M11" si="8">M9-M10</f>
        <v>161727.19062499999</v>
      </c>
      <c r="N11" s="57">
        <f t="shared" ref="N11" si="9">N9-N10</f>
        <v>199510.37803125</v>
      </c>
      <c r="O11" s="57">
        <f t="shared" ref="O11" si="10">O9-O10</f>
        <v>240115.5739125</v>
      </c>
      <c r="P11" s="57">
        <f t="shared" ref="P11" si="11">P9-P10</f>
        <v>276941.49831562501</v>
      </c>
      <c r="Q11" s="57">
        <f t="shared" ref="Q11" si="12">Q9-Q10</f>
        <v>305525.09529506252</v>
      </c>
      <c r="R11" s="57">
        <f t="shared" ref="R11" si="13">R9-R10</f>
        <v>337055.99668723129</v>
      </c>
      <c r="S11" s="57">
        <f t="shared" ref="S11" si="14">S9-S10</f>
        <v>365077.13963388535</v>
      </c>
      <c r="T11" s="57">
        <f t="shared" ref="T11" si="15">T9-T10</f>
        <v>395424.50707320572</v>
      </c>
    </row>
    <row r="12" spans="2:20" outlineLevel="1" x14ac:dyDescent="0.25">
      <c r="B12" s="3"/>
      <c r="F12" s="54"/>
      <c r="G12" s="54"/>
      <c r="H12" s="54"/>
      <c r="I12" s="54"/>
      <c r="J12" s="55"/>
      <c r="K12" s="56"/>
      <c r="L12" s="56"/>
      <c r="M12" s="56"/>
      <c r="N12" s="56"/>
      <c r="O12" s="56"/>
      <c r="P12" s="56"/>
      <c r="Q12" s="56"/>
      <c r="R12" s="56"/>
      <c r="S12" s="56"/>
      <c r="T12" s="56"/>
    </row>
    <row r="13" spans="2:20" outlineLevel="1" x14ac:dyDescent="0.25">
      <c r="B13" s="1" t="s">
        <v>67</v>
      </c>
      <c r="F13" s="54">
        <f>INDEX(SILK_IS!$A$10:$F$39,MATCH(SILK_DCF!$B13,SILK_IS!$A$10:$A$39,0),MATCH(SILK_DCF!F$8,SILK_IS!$A$10:$F$10,0))</f>
        <v>7242</v>
      </c>
      <c r="G13" s="54">
        <f>INDEX(SILK_IS!$A$10:$F$39,MATCH(SILK_DCF!$B13,SILK_IS!$A$10:$A$39,0),MATCH(SILK_DCF!G$8,SILK_IS!$A$10:$F$10,0))</f>
        <v>10258</v>
      </c>
      <c r="H13" s="54">
        <f>INDEX(SILK_IS!$A$10:$F$39,MATCH(SILK_DCF!$B13,SILK_IS!$A$10:$A$39,0),MATCH(SILK_DCF!H$8,SILK_IS!$A$10:$F$10,0))</f>
        <v>12272</v>
      </c>
      <c r="I13" s="54">
        <f>INDEX(SILK_IS!$A$10:$F$39,MATCH(SILK_DCF!$B13,SILK_IS!$A$10:$A$39,0),MATCH(SILK_DCF!I$8,SILK_IS!$A$10:$F$10,0))</f>
        <v>21271</v>
      </c>
      <c r="J13" s="55">
        <f>INDEX(SILK_IS!$A$10:$F$39,MATCH(SILK_DCF!$B13,SILK_IS!$A$10:$A$39,0),MATCH(SILK_DCF!J$8,SILK_IS!$A$10:$F$10,0))</f>
        <v>27110</v>
      </c>
      <c r="K13" s="56">
        <f>K9*K30</f>
        <v>19787.625</v>
      </c>
      <c r="L13" s="56">
        <f t="shared" ref="L13:T13" si="16">L9*L30</f>
        <v>23818.4375</v>
      </c>
      <c r="M13" s="56">
        <f t="shared" si="16"/>
        <v>27391.203125000004</v>
      </c>
      <c r="N13" s="56">
        <f t="shared" si="16"/>
        <v>30761.512031250008</v>
      </c>
      <c r="O13" s="56">
        <f t="shared" si="16"/>
        <v>33398.213062500006</v>
      </c>
      <c r="P13" s="56">
        <f t="shared" si="16"/>
        <v>34365.003440625005</v>
      </c>
      <c r="Q13" s="56">
        <f t="shared" si="16"/>
        <v>33354.268045312514</v>
      </c>
      <c r="R13" s="56">
        <f t="shared" si="16"/>
        <v>31797.735536531261</v>
      </c>
      <c r="S13" s="56">
        <f t="shared" si="16"/>
        <v>29058.238321076264</v>
      </c>
      <c r="T13" s="56">
        <f t="shared" si="16"/>
        <v>25676.916043714664</v>
      </c>
    </row>
    <row r="14" spans="2:20" outlineLevel="1" x14ac:dyDescent="0.25">
      <c r="B14" s="1" t="s">
        <v>68</v>
      </c>
      <c r="F14" s="54">
        <f>INDEX(SILK_IS!$A$10:$F$39,MATCH(SILK_DCF!$B14,SILK_IS!$A$10:$A$39,0),MATCH(SILK_DCF!F$8,SILK_IS!$A$10:$F$10,0))</f>
        <v>20261</v>
      </c>
      <c r="G14" s="54">
        <f>INDEX(SILK_IS!$A$10:$F$39,MATCH(SILK_DCF!$B14,SILK_IS!$A$10:$A$39,0),MATCH(SILK_DCF!G$8,SILK_IS!$A$10:$F$10,0))</f>
        <v>34820</v>
      </c>
      <c r="H14" s="54">
        <f>INDEX(SILK_IS!$A$10:$F$39,MATCH(SILK_DCF!$B14,SILK_IS!$A$10:$A$39,0),MATCH(SILK_DCF!H$8,SILK_IS!$A$10:$F$10,0))</f>
        <v>63220</v>
      </c>
      <c r="I14" s="54">
        <f>INDEX(SILK_IS!$A$10:$F$39,MATCH(SILK_DCF!$B14,SILK_IS!$A$10:$A$39,0),MATCH(SILK_DCF!I$8,SILK_IS!$A$10:$F$10,0))</f>
        <v>75524</v>
      </c>
      <c r="J14" s="59">
        <f>INDEX(SILK_IS!$A$10:$F$39,MATCH(SILK_DCF!$B14,SILK_IS!$A$10:$A$39,0),MATCH(SILK_DCF!J$8,SILK_IS!$A$10:$F$10,0))</f>
        <v>96387</v>
      </c>
      <c r="K14" s="60">
        <f>K9*K31</f>
        <v>112129.875</v>
      </c>
      <c r="L14" s="61">
        <f t="shared" ref="L14:T14" si="17">L9*L31</f>
        <v>128619.5625</v>
      </c>
      <c r="M14" s="61">
        <f t="shared" si="17"/>
        <v>139337.859375</v>
      </c>
      <c r="N14" s="61">
        <f t="shared" si="17"/>
        <v>158202.06187500001</v>
      </c>
      <c r="O14" s="61">
        <f t="shared" si="17"/>
        <v>158202.06187500001</v>
      </c>
      <c r="P14" s="61">
        <f t="shared" si="17"/>
        <v>163739.13404062501</v>
      </c>
      <c r="Q14" s="61">
        <f t="shared" si="17"/>
        <v>160100.48661750005</v>
      </c>
      <c r="R14" s="61">
        <f t="shared" si="17"/>
        <v>167305.00851528754</v>
      </c>
      <c r="S14" s="61">
        <f t="shared" si="17"/>
        <v>171179.44029143106</v>
      </c>
      <c r="T14" s="61">
        <f t="shared" si="17"/>
        <v>179738.4123060026</v>
      </c>
    </row>
    <row r="15" spans="2:20" outlineLevel="1" x14ac:dyDescent="0.25">
      <c r="B15" s="36" t="s">
        <v>41</v>
      </c>
      <c r="C15" s="36"/>
      <c r="D15" s="36"/>
      <c r="E15" s="36"/>
      <c r="F15" s="62">
        <f>F11-F13-F14</f>
        <v>-18374</v>
      </c>
      <c r="G15" s="62">
        <f t="shared" ref="G15:K15" si="18">G11-G13-G14</f>
        <v>-21395</v>
      </c>
      <c r="H15" s="62">
        <f t="shared" si="18"/>
        <v>-28065</v>
      </c>
      <c r="I15" s="62">
        <f t="shared" si="18"/>
        <v>-42859</v>
      </c>
      <c r="J15" s="63">
        <f t="shared" si="18"/>
        <v>-47468</v>
      </c>
      <c r="K15" s="57">
        <f t="shared" si="18"/>
        <v>-32979.375</v>
      </c>
      <c r="L15" s="57">
        <f t="shared" ref="L15" si="19">L11-L13-L14</f>
        <v>-23437.342499999999</v>
      </c>
      <c r="M15" s="57">
        <f t="shared" ref="M15" si="20">M11-M13-M14</f>
        <v>-5001.8718750000116</v>
      </c>
      <c r="N15" s="57">
        <f t="shared" ref="N15" si="21">N11-N13-N14</f>
        <v>10546.804124999966</v>
      </c>
      <c r="O15" s="57">
        <f t="shared" ref="O15" si="22">O11-O13-O14</f>
        <v>48515.298974999983</v>
      </c>
      <c r="P15" s="57">
        <f t="shared" ref="P15" si="23">P11-P13-P14</f>
        <v>78837.360834374995</v>
      </c>
      <c r="Q15" s="57">
        <f t="shared" ref="Q15" si="24">Q11-Q13-Q14</f>
        <v>112070.34063224998</v>
      </c>
      <c r="R15" s="57">
        <f t="shared" ref="R15" si="25">R11-R13-R14</f>
        <v>137953.2526354125</v>
      </c>
      <c r="S15" s="57">
        <f t="shared" ref="S15" si="26">S11-S13-S14</f>
        <v>164839.46102137803</v>
      </c>
      <c r="T15" s="57">
        <f t="shared" ref="T15" si="27">T11-T13-T14</f>
        <v>190009.17872348844</v>
      </c>
    </row>
    <row r="16" spans="2:20" outlineLevel="1" x14ac:dyDescent="0.25">
      <c r="B16" s="1" t="s">
        <v>40</v>
      </c>
      <c r="C16" s="35"/>
      <c r="D16" s="35">
        <v>0.21</v>
      </c>
      <c r="F16" s="57">
        <f>IF(F15&lt;0,0,F15*$D$16)</f>
        <v>0</v>
      </c>
      <c r="G16" s="57">
        <f t="shared" ref="G16:K16" si="28">IF(G15&lt;0,0,G15*$D$16)</f>
        <v>0</v>
      </c>
      <c r="H16" s="57">
        <f t="shared" si="28"/>
        <v>0</v>
      </c>
      <c r="I16" s="57">
        <f t="shared" si="28"/>
        <v>0</v>
      </c>
      <c r="J16" s="58">
        <f t="shared" si="28"/>
        <v>0</v>
      </c>
      <c r="K16" s="64">
        <f t="shared" si="28"/>
        <v>0</v>
      </c>
      <c r="L16" s="64">
        <f t="shared" ref="L16" si="29">IF(L15&lt;0,0,L15*$D$16)</f>
        <v>0</v>
      </c>
      <c r="M16" s="64">
        <f t="shared" ref="M16" si="30">IF(M15&lt;0,0,M15*$D$16)</f>
        <v>0</v>
      </c>
      <c r="N16" s="64">
        <f t="shared" ref="N16" si="31">IF(N15&lt;0,0,N15*$D$16)</f>
        <v>2214.8288662499926</v>
      </c>
      <c r="O16" s="64">
        <f t="shared" ref="O16" si="32">IF(O15&lt;0,0,O15*$D$16)</f>
        <v>10188.212784749996</v>
      </c>
      <c r="P16" s="64">
        <f t="shared" ref="P16" si="33">IF(P15&lt;0,0,P15*$D$16)</f>
        <v>16555.84577521875</v>
      </c>
      <c r="Q16" s="64">
        <f t="shared" ref="Q16" si="34">IF(Q15&lt;0,0,Q15*$D$16)</f>
        <v>23534.771532772495</v>
      </c>
      <c r="R16" s="64">
        <f t="shared" ref="R16" si="35">IF(R15&lt;0,0,R15*$D$16)</f>
        <v>28970.183053436624</v>
      </c>
      <c r="S16" s="64">
        <f t="shared" ref="S16" si="36">IF(S15&lt;0,0,S15*$D$16)</f>
        <v>34616.286814489387</v>
      </c>
      <c r="T16" s="64">
        <f t="shared" ref="T16" si="37">IF(T15&lt;0,0,T15*$D$16)</f>
        <v>39901.927531932568</v>
      </c>
    </row>
    <row r="17" spans="2:24" outlineLevel="1" x14ac:dyDescent="0.25">
      <c r="B17" s="13" t="s">
        <v>39</v>
      </c>
      <c r="C17" s="13"/>
      <c r="D17" s="13"/>
      <c r="E17" s="13"/>
      <c r="F17" s="62">
        <f>F15-F16</f>
        <v>-18374</v>
      </c>
      <c r="G17" s="62">
        <f t="shared" ref="G17:K17" si="38">G15-G16</f>
        <v>-21395</v>
      </c>
      <c r="H17" s="62">
        <f t="shared" si="38"/>
        <v>-28065</v>
      </c>
      <c r="I17" s="62">
        <f t="shared" si="38"/>
        <v>-42859</v>
      </c>
      <c r="J17" s="63">
        <f t="shared" si="38"/>
        <v>-47468</v>
      </c>
      <c r="K17" s="57">
        <f t="shared" si="38"/>
        <v>-32979.375</v>
      </c>
      <c r="L17" s="57">
        <f t="shared" ref="L17" si="39">L15-L16</f>
        <v>-23437.342499999999</v>
      </c>
      <c r="M17" s="57">
        <f t="shared" ref="M17" si="40">M15-M16</f>
        <v>-5001.8718750000116</v>
      </c>
      <c r="N17" s="57">
        <f t="shared" ref="N17" si="41">N15-N16</f>
        <v>8331.9752587499734</v>
      </c>
      <c r="O17" s="57">
        <f t="shared" ref="O17" si="42">O15-O16</f>
        <v>38327.086190249989</v>
      </c>
      <c r="P17" s="57">
        <f t="shared" ref="P17" si="43">P15-P16</f>
        <v>62281.515059156241</v>
      </c>
      <c r="Q17" s="57">
        <f t="shared" ref="Q17" si="44">Q15-Q16</f>
        <v>88535.569099477492</v>
      </c>
      <c r="R17" s="57">
        <f t="shared" ref="R17" si="45">R15-R16</f>
        <v>108983.06958197587</v>
      </c>
      <c r="S17" s="57">
        <f t="shared" ref="S17" si="46">S15-S16</f>
        <v>130223.17420688864</v>
      </c>
      <c r="T17" s="57">
        <f t="shared" ref="T17" si="47">T15-T16</f>
        <v>150107.25119155587</v>
      </c>
    </row>
    <row r="18" spans="2:24" outlineLevel="1" x14ac:dyDescent="0.25">
      <c r="F18" s="57"/>
      <c r="G18" s="57"/>
      <c r="H18" s="57"/>
      <c r="I18" s="57"/>
      <c r="J18" s="58"/>
      <c r="K18" s="56"/>
      <c r="L18" s="56"/>
      <c r="M18" s="56"/>
      <c r="N18" s="56"/>
      <c r="O18" s="56"/>
      <c r="P18" s="56"/>
      <c r="Q18" s="56"/>
      <c r="R18" s="56"/>
      <c r="S18" s="56"/>
      <c r="T18" s="56"/>
    </row>
    <row r="19" spans="2:24" outlineLevel="1" x14ac:dyDescent="0.25">
      <c r="B19" s="1" t="s">
        <v>38</v>
      </c>
      <c r="F19" s="54">
        <f>INDEX(SILK_IS!$A$10:$F$39,MATCH(SILK_DCF!$B19,SILK_IS!$A$10:$A$39,0),MATCH(SILK_DCF!F$8,SILK_IS!$A$10:$F$10,0))</f>
        <v>129</v>
      </c>
      <c r="G19" s="54">
        <f>INDEX(SILK_IS!$A$10:$F$39,MATCH(SILK_DCF!$B19,SILK_IS!$A$10:$A$39,0),MATCH(SILK_DCF!G$8,SILK_IS!$A$10:$F$10,0))</f>
        <v>517</v>
      </c>
      <c r="H19" s="54">
        <f>INDEX(SILK_IS!$A$10:$F$39,MATCH(SILK_DCF!$B19,SILK_IS!$A$10:$A$39,0),MATCH(SILK_DCF!H$8,SILK_IS!$A$10:$F$10,0))</f>
        <v>712</v>
      </c>
      <c r="I19" s="54">
        <f>INDEX(SILK_IS!$A$10:$F$39,MATCH(SILK_DCF!$B19,SILK_IS!$A$10:$A$39,0),MATCH(SILK_DCF!I$8,SILK_IS!$A$10:$F$10,0))</f>
        <v>789</v>
      </c>
      <c r="J19" s="55">
        <f>INDEX(SILK_IS!$A$10:$F$39,MATCH(SILK_DCF!$B19,SILK_IS!$A$10:$A$39,0),MATCH(SILK_DCF!J$8,SILK_IS!$A$10:$F$10,0))</f>
        <v>1032</v>
      </c>
      <c r="K19" s="57">
        <f>-K20*K33</f>
        <v>1978.7624999999998</v>
      </c>
      <c r="L19" s="57">
        <f t="shared" ref="L19:T19" si="48">-L20*L33</f>
        <v>2858.2125000000001</v>
      </c>
      <c r="M19" s="57">
        <f t="shared" si="48"/>
        <v>3930.0421875000002</v>
      </c>
      <c r="N19" s="57">
        <f t="shared" si="48"/>
        <v>5273.4020625000003</v>
      </c>
      <c r="O19" s="57">
        <f t="shared" si="48"/>
        <v>6855.422681250001</v>
      </c>
      <c r="P19" s="57">
        <f t="shared" si="48"/>
        <v>8490.1773206250018</v>
      </c>
      <c r="Q19" s="57">
        <f t="shared" si="48"/>
        <v>10006.280413593753</v>
      </c>
      <c r="R19" s="57">
        <f t="shared" si="48"/>
        <v>11740.702351950005</v>
      </c>
      <c r="S19" s="57">
        <f t="shared" si="48"/>
        <v>13472.455948862633</v>
      </c>
      <c r="T19" s="57">
        <f t="shared" si="48"/>
        <v>15406.1496262288</v>
      </c>
    </row>
    <row r="20" spans="2:24" outlineLevel="1" x14ac:dyDescent="0.25">
      <c r="B20" s="1" t="s">
        <v>37</v>
      </c>
      <c r="F20" s="54">
        <f>INDEX(SILK_IS!$A$10:$F$39,MATCH(SILK_DCF!$B20,SILK_IS!$A$10:$A$39,0),MATCH(SILK_DCF!F$8,SILK_IS!$A$10:$F$10,0))</f>
        <v>-443</v>
      </c>
      <c r="G20" s="54">
        <f>INDEX(SILK_IS!$A$10:$F$39,MATCH(SILK_DCF!$B20,SILK_IS!$A$10:$A$39,0),MATCH(SILK_DCF!G$8,SILK_IS!$A$10:$F$10,0))</f>
        <v>-2276</v>
      </c>
      <c r="H20" s="54">
        <f>INDEX(SILK_IS!$A$10:$F$39,MATCH(SILK_DCF!$B20,SILK_IS!$A$10:$A$39,0),MATCH(SILK_DCF!H$8,SILK_IS!$A$10:$F$10,0))</f>
        <v>-535</v>
      </c>
      <c r="I20" s="54">
        <f>INDEX(SILK_IS!$A$10:$F$39,MATCH(SILK_DCF!$B20,SILK_IS!$A$10:$A$39,0),MATCH(SILK_DCF!I$8,SILK_IS!$A$10:$F$10,0))</f>
        <v>-842</v>
      </c>
      <c r="J20" s="55">
        <f>INDEX(SILK_IS!$A$10:$F$39,MATCH(SILK_DCF!$B20,SILK_IS!$A$10:$A$39,0),MATCH(SILK_DCF!J$8,SILK_IS!$A$10:$F$10,0))</f>
        <v>-4758</v>
      </c>
      <c r="K20" s="56">
        <f>-K32*K9</f>
        <v>-3957.5249999999996</v>
      </c>
      <c r="L20" s="56">
        <f t="shared" ref="L20:T20" si="49">-L32*L9</f>
        <v>-5144.7825000000003</v>
      </c>
      <c r="M20" s="56">
        <f t="shared" si="49"/>
        <v>-6430.9781249999996</v>
      </c>
      <c r="N20" s="56">
        <f t="shared" si="49"/>
        <v>-7910.10309375</v>
      </c>
      <c r="O20" s="56">
        <f t="shared" si="49"/>
        <v>-9492.1237125000007</v>
      </c>
      <c r="P20" s="56">
        <f t="shared" si="49"/>
        <v>-10915.942269375</v>
      </c>
      <c r="Q20" s="56">
        <f t="shared" si="49"/>
        <v>-12007.536496312501</v>
      </c>
      <c r="R20" s="56">
        <f t="shared" si="49"/>
        <v>-13208.290145943753</v>
      </c>
      <c r="S20" s="56">
        <f t="shared" si="49"/>
        <v>-14264.953357619255</v>
      </c>
      <c r="T20" s="56">
        <f t="shared" si="49"/>
        <v>-15406.149626228796</v>
      </c>
    </row>
    <row r="21" spans="2:24" outlineLevel="1" x14ac:dyDescent="0.25">
      <c r="B21" s="1" t="s">
        <v>36</v>
      </c>
      <c r="F21" s="57"/>
      <c r="G21" s="56">
        <f>-G70</f>
        <v>1253</v>
      </c>
      <c r="H21" s="56">
        <f t="shared" ref="H21:J21" si="50">-H70</f>
        <v>-2804</v>
      </c>
      <c r="I21" s="56">
        <f t="shared" si="50"/>
        <v>-1503</v>
      </c>
      <c r="J21" s="70">
        <f t="shared" si="50"/>
        <v>-1162</v>
      </c>
      <c r="K21" s="56">
        <f>-K70</f>
        <v>-2250.3999999999996</v>
      </c>
      <c r="L21" s="56">
        <f t="shared" ref="L21:T21" si="51">-L70</f>
        <v>-3166.0200000000004</v>
      </c>
      <c r="M21" s="56">
        <f t="shared" si="51"/>
        <v>-3429.8550000000014</v>
      </c>
      <c r="N21" s="56">
        <f t="shared" si="51"/>
        <v>-3944.3332499999997</v>
      </c>
      <c r="O21" s="56">
        <f t="shared" si="51"/>
        <v>-4218.7216500000031</v>
      </c>
      <c r="P21" s="56">
        <f t="shared" si="51"/>
        <v>-3796.8494849999988</v>
      </c>
      <c r="Q21" s="56">
        <f t="shared" si="51"/>
        <v>-2910.9179385000025</v>
      </c>
      <c r="R21" s="56">
        <f t="shared" si="51"/>
        <v>-3202.0097323500086</v>
      </c>
      <c r="S21" s="56">
        <f t="shared" si="51"/>
        <v>-2817.7685644680023</v>
      </c>
      <c r="T21" s="56">
        <f t="shared" si="51"/>
        <v>-3043.1900496254384</v>
      </c>
    </row>
    <row r="22" spans="2:24" outlineLevel="1" x14ac:dyDescent="0.25">
      <c r="B22" s="3" t="s">
        <v>35</v>
      </c>
      <c r="C22" s="3"/>
      <c r="D22" s="3"/>
      <c r="E22" s="3"/>
      <c r="F22" s="68">
        <f>SUM(F17:F21)</f>
        <v>-18688</v>
      </c>
      <c r="G22" s="68">
        <f t="shared" ref="G22:K22" si="52">SUM(G17:G21)</f>
        <v>-21901</v>
      </c>
      <c r="H22" s="68">
        <f t="shared" si="52"/>
        <v>-30692</v>
      </c>
      <c r="I22" s="68">
        <f t="shared" si="52"/>
        <v>-44415</v>
      </c>
      <c r="J22" s="69">
        <f t="shared" si="52"/>
        <v>-52356</v>
      </c>
      <c r="K22" s="68">
        <f t="shared" si="52"/>
        <v>-37208.537499999999</v>
      </c>
      <c r="L22" s="68">
        <f t="shared" ref="L22" si="53">SUM(L17:L21)</f>
        <v>-28889.932499999999</v>
      </c>
      <c r="M22" s="68">
        <f t="shared" ref="M22" si="54">SUM(M17:M21)</f>
        <v>-10932.662812500013</v>
      </c>
      <c r="N22" s="68">
        <f t="shared" ref="N22" si="55">SUM(N17:N21)</f>
        <v>1750.9409774999731</v>
      </c>
      <c r="O22" s="68">
        <f t="shared" ref="O22" si="56">SUM(O17:O21)</f>
        <v>31471.66350899998</v>
      </c>
      <c r="P22" s="68">
        <f t="shared" ref="P22" si="57">SUM(P17:P21)</f>
        <v>56058.900625406248</v>
      </c>
      <c r="Q22" s="68">
        <f t="shared" ref="Q22" si="58">SUM(Q17:Q21)</f>
        <v>83623.395078258734</v>
      </c>
      <c r="R22" s="68">
        <f t="shared" ref="R22" si="59">SUM(R17:R21)</f>
        <v>104313.47205563211</v>
      </c>
      <c r="S22" s="68">
        <f t="shared" ref="S22" si="60">SUM(S17:S21)</f>
        <v>126612.90823366401</v>
      </c>
      <c r="T22" s="68">
        <f t="shared" ref="T22" si="61">SUM(T17:T21)</f>
        <v>147064.06114193046</v>
      </c>
    </row>
    <row r="23" spans="2:24" outlineLevel="1" x14ac:dyDescent="0.25">
      <c r="C23" s="3"/>
      <c r="D23" s="3"/>
      <c r="E23" s="3"/>
      <c r="F23" s="34"/>
      <c r="G23" s="34"/>
      <c r="H23" s="34"/>
      <c r="I23" s="34"/>
      <c r="J23" s="34"/>
    </row>
    <row r="24" spans="2:24" outlineLevel="1" x14ac:dyDescent="0.25">
      <c r="F24" s="34"/>
    </row>
    <row r="25" spans="2:24" outlineLevel="1" x14ac:dyDescent="0.25">
      <c r="F25" s="21" t="s">
        <v>6</v>
      </c>
      <c r="G25" s="20"/>
      <c r="H25" s="20"/>
      <c r="I25" s="20"/>
      <c r="J25" s="19"/>
      <c r="K25" s="21" t="s">
        <v>5</v>
      </c>
      <c r="L25" s="20"/>
      <c r="M25" s="20"/>
      <c r="N25" s="20"/>
      <c r="O25" s="19"/>
      <c r="P25" s="19"/>
      <c r="Q25" s="19"/>
      <c r="R25" s="19"/>
      <c r="S25" s="19"/>
      <c r="T25" s="19"/>
    </row>
    <row r="26" spans="2:24" outlineLevel="1" x14ac:dyDescent="0.25">
      <c r="F26" s="33">
        <f>F8</f>
        <v>2017</v>
      </c>
      <c r="G26" s="16">
        <f t="shared" ref="G26:Q26" si="62">F26+1</f>
        <v>2018</v>
      </c>
      <c r="H26" s="16">
        <f t="shared" si="62"/>
        <v>2019</v>
      </c>
      <c r="I26" s="16">
        <f t="shared" si="62"/>
        <v>2020</v>
      </c>
      <c r="J26" s="17">
        <f t="shared" si="62"/>
        <v>2021</v>
      </c>
      <c r="K26" s="16">
        <f t="shared" si="62"/>
        <v>2022</v>
      </c>
      <c r="L26" s="16">
        <f t="shared" si="62"/>
        <v>2023</v>
      </c>
      <c r="M26" s="16">
        <f t="shared" si="62"/>
        <v>2024</v>
      </c>
      <c r="N26" s="16">
        <f t="shared" si="62"/>
        <v>2025</v>
      </c>
      <c r="O26" s="16">
        <f t="shared" si="62"/>
        <v>2026</v>
      </c>
      <c r="P26" s="16">
        <f t="shared" si="62"/>
        <v>2027</v>
      </c>
      <c r="Q26" s="16">
        <f t="shared" si="62"/>
        <v>2028</v>
      </c>
      <c r="R26" s="16">
        <f t="shared" ref="R26" si="63">Q26+1</f>
        <v>2029</v>
      </c>
      <c r="S26" s="16">
        <f t="shared" ref="S26" si="64">R26+1</f>
        <v>2030</v>
      </c>
      <c r="T26" s="16">
        <f t="shared" ref="T26" si="65">S26+1</f>
        <v>2031</v>
      </c>
    </row>
    <row r="27" spans="2:24" outlineLevel="1" x14ac:dyDescent="0.25">
      <c r="B27" s="3" t="s">
        <v>34</v>
      </c>
      <c r="C27" s="3"/>
      <c r="E27" s="3"/>
      <c r="F27" s="6"/>
      <c r="G27" s="6"/>
      <c r="H27" s="6"/>
      <c r="I27" s="6"/>
      <c r="J27" s="15"/>
      <c r="K27" s="6"/>
      <c r="L27" s="6"/>
      <c r="M27" s="6"/>
      <c r="N27" s="6"/>
      <c r="O27" s="6"/>
      <c r="P27" s="6"/>
      <c r="Q27" s="6"/>
      <c r="R27" s="6"/>
      <c r="S27" s="6"/>
      <c r="T27" s="6"/>
    </row>
    <row r="28" spans="2:24" outlineLevel="1" x14ac:dyDescent="0.25">
      <c r="B28" s="1" t="s">
        <v>0</v>
      </c>
      <c r="F28" s="6"/>
      <c r="G28" s="6">
        <f>G9/F9-1</f>
        <v>1.4236919624070699</v>
      </c>
      <c r="H28" s="6">
        <f t="shared" ref="H28:J28" si="66">H9/G9-1</f>
        <v>0.83331886448476422</v>
      </c>
      <c r="I28" s="6">
        <f t="shared" si="66"/>
        <v>0.18740726710231392</v>
      </c>
      <c r="J28" s="15">
        <f t="shared" si="66"/>
        <v>0.34891727704148767</v>
      </c>
      <c r="K28" s="7">
        <v>0.3</v>
      </c>
      <c r="L28" s="7">
        <v>0.3</v>
      </c>
      <c r="M28" s="7">
        <v>0.25</v>
      </c>
      <c r="N28" s="7">
        <v>0.23</v>
      </c>
      <c r="O28" s="7">
        <v>0.2</v>
      </c>
      <c r="P28" s="7">
        <v>0.15</v>
      </c>
      <c r="Q28" s="7">
        <v>0.1</v>
      </c>
      <c r="R28" s="7">
        <v>0.1</v>
      </c>
      <c r="S28" s="7">
        <v>0.08</v>
      </c>
      <c r="T28" s="7">
        <v>0.08</v>
      </c>
      <c r="V28" s="6" t="s">
        <v>1</v>
      </c>
      <c r="W28" s="7"/>
    </row>
    <row r="29" spans="2:24" outlineLevel="1" x14ac:dyDescent="0.25">
      <c r="B29" s="1" t="s">
        <v>167</v>
      </c>
      <c r="F29" s="6">
        <f>F10/F9</f>
        <v>0.35972787207181933</v>
      </c>
      <c r="G29" s="6">
        <f t="shared" ref="G29:J29" si="67">G10/G9</f>
        <v>0.31466851867928353</v>
      </c>
      <c r="H29" s="6">
        <f t="shared" si="67"/>
        <v>0.25139691258641916</v>
      </c>
      <c r="I29" s="6">
        <f t="shared" si="67"/>
        <v>0.28302338256211201</v>
      </c>
      <c r="J29" s="15">
        <f t="shared" si="67"/>
        <v>0.2507612712490761</v>
      </c>
      <c r="K29" s="7">
        <v>0.25</v>
      </c>
      <c r="L29" s="6">
        <f>K29+$X29</f>
        <v>0.24777777777777779</v>
      </c>
      <c r="M29" s="6">
        <f t="shared" ref="M29:T30" si="68">L29+$X29</f>
        <v>0.24555555555555558</v>
      </c>
      <c r="N29" s="6">
        <f t="shared" si="68"/>
        <v>0.24333333333333337</v>
      </c>
      <c r="O29" s="6">
        <f t="shared" si="68"/>
        <v>0.24111111111111116</v>
      </c>
      <c r="P29" s="6">
        <f t="shared" si="68"/>
        <v>0.23888888888888896</v>
      </c>
      <c r="Q29" s="6">
        <f t="shared" si="68"/>
        <v>0.23666666666666675</v>
      </c>
      <c r="R29" s="6">
        <f t="shared" si="68"/>
        <v>0.23444444444444454</v>
      </c>
      <c r="S29" s="6">
        <f t="shared" si="68"/>
        <v>0.23222222222222233</v>
      </c>
      <c r="T29" s="6">
        <f t="shared" si="68"/>
        <v>0.23000000000000012</v>
      </c>
      <c r="V29" s="6" t="s">
        <v>1</v>
      </c>
      <c r="W29" s="7">
        <v>0.23</v>
      </c>
      <c r="X29" s="6">
        <f>(W29-K29)/($T$26-$K$26)</f>
        <v>-2.2222222222222209E-3</v>
      </c>
    </row>
    <row r="30" spans="2:24" outlineLevel="1" x14ac:dyDescent="0.25">
      <c r="B30" s="1" t="s">
        <v>169</v>
      </c>
      <c r="F30" s="6">
        <f>F13/F9</f>
        <v>0.50792537522794223</v>
      </c>
      <c r="G30" s="6">
        <f t="shared" ref="G30:J30" si="69">G13/G9</f>
        <v>0.29684289724223745</v>
      </c>
      <c r="H30" s="6">
        <f t="shared" si="69"/>
        <v>0.19370521198345803</v>
      </c>
      <c r="I30" s="6">
        <f t="shared" si="69"/>
        <v>0.28275752057107156</v>
      </c>
      <c r="J30" s="15">
        <f t="shared" si="69"/>
        <v>0.26715939886671591</v>
      </c>
      <c r="K30" s="7">
        <v>0.15</v>
      </c>
      <c r="L30" s="6">
        <f>K30+$X30</f>
        <v>0.1388888888888889</v>
      </c>
      <c r="M30" s="6">
        <f t="shared" si="68"/>
        <v>0.1277777777777778</v>
      </c>
      <c r="N30" s="6">
        <f t="shared" si="68"/>
        <v>0.11666666666666668</v>
      </c>
      <c r="O30" s="6">
        <f t="shared" si="68"/>
        <v>0.10555555555555557</v>
      </c>
      <c r="P30" s="6">
        <f t="shared" si="68"/>
        <v>9.4444444444444456E-2</v>
      </c>
      <c r="Q30" s="6">
        <f t="shared" si="68"/>
        <v>8.3333333333333343E-2</v>
      </c>
      <c r="R30" s="6">
        <f t="shared" si="68"/>
        <v>7.2222222222222229E-2</v>
      </c>
      <c r="S30" s="6">
        <f t="shared" si="68"/>
        <v>6.1111111111111116E-2</v>
      </c>
      <c r="T30" s="6">
        <f t="shared" si="68"/>
        <v>0.05</v>
      </c>
      <c r="V30" s="6" t="s">
        <v>1</v>
      </c>
      <c r="W30" s="7">
        <v>0.05</v>
      </c>
      <c r="X30" s="6">
        <f>(W30-K30)/($T$26-$K$26)</f>
        <v>-1.111111111111111E-2</v>
      </c>
    </row>
    <row r="31" spans="2:24" outlineLevel="1" x14ac:dyDescent="0.25">
      <c r="B31" s="1" t="s">
        <v>168</v>
      </c>
      <c r="F31" s="6">
        <f>F14/F9</f>
        <v>1.4210267919764343</v>
      </c>
      <c r="G31" s="6">
        <f t="shared" ref="G31:J31" si="70">G14/G9</f>
        <v>1.0076106143473103</v>
      </c>
      <c r="H31" s="6">
        <f t="shared" si="70"/>
        <v>0.99788490071660829</v>
      </c>
      <c r="I31" s="6">
        <f t="shared" si="70"/>
        <v>1.0039480505669507</v>
      </c>
      <c r="J31" s="15">
        <f t="shared" si="70"/>
        <v>0.94985957132298593</v>
      </c>
      <c r="K31" s="7">
        <v>0.85</v>
      </c>
      <c r="L31" s="7">
        <v>0.75</v>
      </c>
      <c r="M31" s="7">
        <v>0.65</v>
      </c>
      <c r="N31" s="7">
        <v>0.6</v>
      </c>
      <c r="O31" s="7">
        <v>0.5</v>
      </c>
      <c r="P31" s="7">
        <v>0.45</v>
      </c>
      <c r="Q31" s="7">
        <v>0.4</v>
      </c>
      <c r="R31" s="7">
        <v>0.38</v>
      </c>
      <c r="S31" s="7">
        <v>0.36</v>
      </c>
      <c r="T31" s="7">
        <v>0.35</v>
      </c>
      <c r="V31" s="6" t="s">
        <v>1</v>
      </c>
      <c r="W31" s="7"/>
    </row>
    <row r="32" spans="2:24" outlineLevel="1" x14ac:dyDescent="0.25">
      <c r="B32" s="1" t="s">
        <v>33</v>
      </c>
      <c r="F32" s="6">
        <f>-F20/F9</f>
        <v>3.107027633609202E-2</v>
      </c>
      <c r="G32" s="6">
        <f t="shared" ref="G32:J32" si="71">-G20/G9</f>
        <v>6.5862198686228543E-2</v>
      </c>
      <c r="H32" s="6">
        <f t="shared" si="71"/>
        <v>8.4446128105565548E-3</v>
      </c>
      <c r="I32" s="6">
        <f t="shared" si="71"/>
        <v>1.1192789822802984E-2</v>
      </c>
      <c r="J32" s="15">
        <f t="shared" si="71"/>
        <v>4.6888396156688841E-2</v>
      </c>
      <c r="K32" s="7">
        <v>0.03</v>
      </c>
      <c r="L32" s="6">
        <f>K32+$X32</f>
        <v>0.03</v>
      </c>
      <c r="M32" s="6">
        <f t="shared" ref="M32:T32" si="72">L32+$X32</f>
        <v>0.03</v>
      </c>
      <c r="N32" s="6">
        <f t="shared" si="72"/>
        <v>0.03</v>
      </c>
      <c r="O32" s="6">
        <f t="shared" si="72"/>
        <v>0.03</v>
      </c>
      <c r="P32" s="6">
        <f t="shared" si="72"/>
        <v>0.03</v>
      </c>
      <c r="Q32" s="6">
        <f t="shared" si="72"/>
        <v>0.03</v>
      </c>
      <c r="R32" s="6">
        <f t="shared" si="72"/>
        <v>0.03</v>
      </c>
      <c r="S32" s="6">
        <f t="shared" si="72"/>
        <v>0.03</v>
      </c>
      <c r="T32" s="6">
        <f t="shared" si="72"/>
        <v>0.03</v>
      </c>
      <c r="V32" s="6" t="s">
        <v>1</v>
      </c>
      <c r="W32" s="7">
        <v>0.03</v>
      </c>
      <c r="X32" s="6">
        <f>(W32-K32)/($T$26-$K$26)</f>
        <v>0</v>
      </c>
    </row>
    <row r="33" spans="2:24" outlineLevel="1" x14ac:dyDescent="0.25">
      <c r="B33" s="1" t="s">
        <v>32</v>
      </c>
      <c r="F33" s="6">
        <f>-F19/F20</f>
        <v>0.29119638826185101</v>
      </c>
      <c r="G33" s="6">
        <f t="shared" ref="G33:J33" si="73">-G19/G20</f>
        <v>0.22715289982425307</v>
      </c>
      <c r="H33" s="6">
        <f t="shared" si="73"/>
        <v>1.3308411214953271</v>
      </c>
      <c r="I33" s="6">
        <f t="shared" si="73"/>
        <v>0.93705463182897863</v>
      </c>
      <c r="J33" s="15">
        <f t="shared" si="73"/>
        <v>0.21689785624211855</v>
      </c>
      <c r="K33" s="7">
        <v>0.5</v>
      </c>
      <c r="L33" s="6">
        <f>K33+$X33</f>
        <v>0.55555555555555558</v>
      </c>
      <c r="M33" s="6">
        <f t="shared" ref="M33:T33" si="74">L33+$X33</f>
        <v>0.61111111111111116</v>
      </c>
      <c r="N33" s="6">
        <f t="shared" si="74"/>
        <v>0.66666666666666674</v>
      </c>
      <c r="O33" s="6">
        <f t="shared" si="74"/>
        <v>0.72222222222222232</v>
      </c>
      <c r="P33" s="6">
        <f t="shared" si="74"/>
        <v>0.7777777777777779</v>
      </c>
      <c r="Q33" s="6">
        <f t="shared" si="74"/>
        <v>0.83333333333333348</v>
      </c>
      <c r="R33" s="6">
        <f t="shared" si="74"/>
        <v>0.88888888888888906</v>
      </c>
      <c r="S33" s="6">
        <f t="shared" si="74"/>
        <v>0.94444444444444464</v>
      </c>
      <c r="T33" s="6">
        <f t="shared" si="74"/>
        <v>1.0000000000000002</v>
      </c>
      <c r="V33" s="6" t="s">
        <v>1</v>
      </c>
      <c r="W33" s="7">
        <v>1</v>
      </c>
      <c r="X33" s="6">
        <f>(W33-K33)/($T$26-$K$26)</f>
        <v>5.5555555555555552E-2</v>
      </c>
    </row>
    <row r="34" spans="2:24" outlineLevel="1" x14ac:dyDescent="0.25">
      <c r="B34" s="1" t="s">
        <v>31</v>
      </c>
      <c r="F34" s="6">
        <f>F11/F9</f>
        <v>0.64027212792818067</v>
      </c>
      <c r="G34" s="6">
        <f t="shared" ref="G34:T34" si="75">G11/G9</f>
        <v>0.68533148132071653</v>
      </c>
      <c r="H34" s="6">
        <f t="shared" si="75"/>
        <v>0.74860308741358084</v>
      </c>
      <c r="I34" s="6">
        <f t="shared" si="75"/>
        <v>0.71697661743788799</v>
      </c>
      <c r="J34" s="15">
        <f t="shared" si="75"/>
        <v>0.7492387287509239</v>
      </c>
      <c r="K34" s="6">
        <f t="shared" si="75"/>
        <v>0.75</v>
      </c>
      <c r="L34" s="6">
        <f t="shared" si="75"/>
        <v>0.75222222222222224</v>
      </c>
      <c r="M34" s="6">
        <f t="shared" si="75"/>
        <v>0.75444444444444436</v>
      </c>
      <c r="N34" s="6">
        <f t="shared" si="75"/>
        <v>0.7566666666666666</v>
      </c>
      <c r="O34" s="6">
        <f t="shared" si="75"/>
        <v>0.75888888888888884</v>
      </c>
      <c r="P34" s="6">
        <f t="shared" si="75"/>
        <v>0.76111111111111107</v>
      </c>
      <c r="Q34" s="6">
        <f t="shared" si="75"/>
        <v>0.7633333333333332</v>
      </c>
      <c r="R34" s="6">
        <f t="shared" si="75"/>
        <v>0.76555555555555543</v>
      </c>
      <c r="S34" s="6">
        <f t="shared" si="75"/>
        <v>0.76777777777777767</v>
      </c>
      <c r="T34" s="6">
        <f t="shared" si="75"/>
        <v>0.76999999999999991</v>
      </c>
    </row>
    <row r="35" spans="2:24" outlineLevel="1" x14ac:dyDescent="0.25">
      <c r="F35" s="2"/>
      <c r="G35" s="2"/>
      <c r="H35" s="2"/>
      <c r="I35" s="2"/>
      <c r="J35" s="2"/>
      <c r="K35" s="32"/>
      <c r="L35" s="2"/>
      <c r="M35" s="2"/>
      <c r="N35" s="2"/>
      <c r="O35" s="2"/>
      <c r="P35" s="2"/>
      <c r="Q35" s="2"/>
      <c r="R35" s="2"/>
      <c r="S35" s="2"/>
      <c r="T35" s="2"/>
    </row>
    <row r="36" spans="2:24" ht="14.4" x14ac:dyDescent="0.3">
      <c r="B36" s="5" t="s">
        <v>30</v>
      </c>
      <c r="C36" s="4"/>
      <c r="D36" s="5"/>
      <c r="E36" s="5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</row>
    <row r="37" spans="2:24" hidden="1" outlineLevel="1" x14ac:dyDescent="0.25"/>
    <row r="38" spans="2:24" hidden="1" outlineLevel="1" x14ac:dyDescent="0.25">
      <c r="F38" s="14" t="s">
        <v>3</v>
      </c>
      <c r="G38" s="13"/>
      <c r="H38" s="13"/>
      <c r="I38" s="12"/>
      <c r="K38" s="14" t="s">
        <v>29</v>
      </c>
      <c r="L38" s="13"/>
      <c r="M38" s="13"/>
      <c r="N38" s="12"/>
    </row>
    <row r="39" spans="2:24" hidden="1" outlineLevel="1" x14ac:dyDescent="0.25">
      <c r="F39" s="11" t="s">
        <v>28</v>
      </c>
      <c r="I39" s="29"/>
      <c r="K39" s="11"/>
      <c r="N39" s="15"/>
    </row>
    <row r="40" spans="2:24" hidden="1" outlineLevel="1" x14ac:dyDescent="0.25">
      <c r="F40" s="11" t="s">
        <v>27</v>
      </c>
      <c r="I40" s="28"/>
      <c r="K40" s="11" t="s">
        <v>26</v>
      </c>
      <c r="N40" s="10"/>
    </row>
    <row r="41" spans="2:24" hidden="1" outlineLevel="1" x14ac:dyDescent="0.25">
      <c r="F41" s="11" t="s">
        <v>2</v>
      </c>
      <c r="I41" s="31"/>
      <c r="K41" s="11" t="s">
        <v>25</v>
      </c>
      <c r="N41" s="30"/>
    </row>
    <row r="42" spans="2:24" hidden="1" outlineLevel="1" x14ac:dyDescent="0.25">
      <c r="F42" s="11" t="s">
        <v>24</v>
      </c>
      <c r="I42" s="23"/>
      <c r="K42" s="11" t="s">
        <v>24</v>
      </c>
      <c r="N42" s="23"/>
      <c r="O42" s="22"/>
      <c r="P42" s="22"/>
      <c r="Q42" s="22"/>
      <c r="R42" s="22"/>
      <c r="S42" s="22"/>
      <c r="T42" s="22"/>
    </row>
    <row r="43" spans="2:24" hidden="1" outlineLevel="1" x14ac:dyDescent="0.25">
      <c r="F43" s="11" t="s">
        <v>23</v>
      </c>
      <c r="I43" s="29"/>
      <c r="K43" s="11" t="s">
        <v>23</v>
      </c>
      <c r="N43" s="29"/>
      <c r="O43" s="22"/>
      <c r="P43" s="22"/>
      <c r="Q43" s="22"/>
      <c r="R43" s="22"/>
      <c r="S43" s="22"/>
      <c r="T43" s="22"/>
    </row>
    <row r="44" spans="2:24" hidden="1" outlineLevel="1" x14ac:dyDescent="0.25">
      <c r="F44" s="11" t="s">
        <v>22</v>
      </c>
      <c r="I44" s="10"/>
      <c r="K44" s="11" t="s">
        <v>22</v>
      </c>
      <c r="N44" s="10"/>
    </row>
    <row r="45" spans="2:24" hidden="1" outlineLevel="1" x14ac:dyDescent="0.25">
      <c r="F45" s="11"/>
      <c r="I45" s="10"/>
      <c r="K45" s="11"/>
      <c r="N45" s="10"/>
    </row>
    <row r="46" spans="2:24" hidden="1" outlineLevel="1" x14ac:dyDescent="0.25">
      <c r="F46" s="11" t="s">
        <v>21</v>
      </c>
      <c r="I46" s="10"/>
      <c r="K46" s="11" t="s">
        <v>21</v>
      </c>
      <c r="N46" s="10"/>
    </row>
    <row r="47" spans="2:24" hidden="1" outlineLevel="1" x14ac:dyDescent="0.25">
      <c r="F47" s="11" t="s">
        <v>20</v>
      </c>
      <c r="I47" s="10"/>
      <c r="K47" s="11" t="s">
        <v>20</v>
      </c>
      <c r="N47" s="10"/>
    </row>
    <row r="48" spans="2:24" hidden="1" outlineLevel="1" x14ac:dyDescent="0.25">
      <c r="F48" s="11" t="s">
        <v>19</v>
      </c>
      <c r="I48" s="24"/>
      <c r="K48" s="11" t="s">
        <v>19</v>
      </c>
      <c r="N48" s="24"/>
    </row>
    <row r="49" spans="2:20" hidden="1" outlineLevel="1" x14ac:dyDescent="0.25">
      <c r="F49" s="11" t="s">
        <v>18</v>
      </c>
      <c r="I49" s="10"/>
      <c r="K49" s="11" t="s">
        <v>18</v>
      </c>
      <c r="N49" s="10"/>
    </row>
    <row r="50" spans="2:20" hidden="1" outlineLevel="1" x14ac:dyDescent="0.25">
      <c r="F50" s="11" t="s">
        <v>17</v>
      </c>
      <c r="I50" s="28"/>
      <c r="K50" s="11" t="s">
        <v>17</v>
      </c>
      <c r="N50" s="28"/>
    </row>
    <row r="51" spans="2:20" hidden="1" outlineLevel="1" x14ac:dyDescent="0.25">
      <c r="F51" s="9" t="s">
        <v>16</v>
      </c>
      <c r="G51" s="8"/>
      <c r="H51" s="8"/>
      <c r="I51" s="27"/>
      <c r="K51" s="9" t="s">
        <v>16</v>
      </c>
      <c r="L51" s="8"/>
      <c r="M51" s="8"/>
      <c r="N51" s="27"/>
    </row>
    <row r="52" spans="2:20" hidden="1" outlineLevel="1" x14ac:dyDescent="0.25"/>
    <row r="53" spans="2:20" hidden="1" outlineLevel="1" x14ac:dyDescent="0.25">
      <c r="E53" s="26"/>
    </row>
    <row r="54" spans="2:20" hidden="1" outlineLevel="1" x14ac:dyDescent="0.25">
      <c r="G54" s="25"/>
    </row>
    <row r="55" spans="2:20" ht="14.4" collapsed="1" x14ac:dyDescent="0.3">
      <c r="B55" s="5" t="s">
        <v>15</v>
      </c>
      <c r="C55" s="4"/>
      <c r="D55" s="5"/>
      <c r="E55" s="5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</row>
    <row r="56" spans="2:20" outlineLevel="1" x14ac:dyDescent="0.25"/>
    <row r="57" spans="2:20" outlineLevel="1" x14ac:dyDescent="0.25"/>
    <row r="58" spans="2:20" outlineLevel="1" x14ac:dyDescent="0.25">
      <c r="F58" s="21" t="s">
        <v>6</v>
      </c>
      <c r="G58" s="20"/>
      <c r="H58" s="20"/>
      <c r="I58" s="20"/>
      <c r="J58" s="19"/>
      <c r="K58" s="21" t="s">
        <v>5</v>
      </c>
      <c r="L58" s="20"/>
      <c r="M58" s="20"/>
      <c r="N58" s="20"/>
      <c r="O58" s="19"/>
      <c r="P58" s="19"/>
      <c r="Q58" s="19"/>
      <c r="R58" s="19"/>
      <c r="S58" s="19"/>
      <c r="T58" s="19"/>
    </row>
    <row r="59" spans="2:20" outlineLevel="1" x14ac:dyDescent="0.25">
      <c r="F59" s="18">
        <f>F8</f>
        <v>2017</v>
      </c>
      <c r="G59" s="16">
        <f t="shared" ref="G59:O59" si="76">F59+1</f>
        <v>2018</v>
      </c>
      <c r="H59" s="16">
        <f t="shared" si="76"/>
        <v>2019</v>
      </c>
      <c r="I59" s="16">
        <f t="shared" si="76"/>
        <v>2020</v>
      </c>
      <c r="J59" s="17">
        <f t="shared" si="76"/>
        <v>2021</v>
      </c>
      <c r="K59" s="16">
        <f t="shared" si="76"/>
        <v>2022</v>
      </c>
      <c r="L59" s="16">
        <f t="shared" si="76"/>
        <v>2023</v>
      </c>
      <c r="M59" s="16">
        <f t="shared" si="76"/>
        <v>2024</v>
      </c>
      <c r="N59" s="16">
        <f t="shared" si="76"/>
        <v>2025</v>
      </c>
      <c r="O59" s="16">
        <f t="shared" si="76"/>
        <v>2026</v>
      </c>
      <c r="P59" s="16">
        <f t="shared" ref="P59" si="77">O59+1</f>
        <v>2027</v>
      </c>
      <c r="Q59" s="16">
        <f t="shared" ref="Q59" si="78">P59+1</f>
        <v>2028</v>
      </c>
      <c r="R59" s="16">
        <f t="shared" ref="R59" si="79">Q59+1</f>
        <v>2029</v>
      </c>
      <c r="S59" s="16">
        <f t="shared" ref="S59" si="80">R59+1</f>
        <v>2030</v>
      </c>
      <c r="T59" s="16">
        <f t="shared" ref="T59" si="81">S59+1</f>
        <v>2031</v>
      </c>
    </row>
    <row r="60" spans="2:20" outlineLevel="1" x14ac:dyDescent="0.25">
      <c r="B60" s="1" t="s">
        <v>14</v>
      </c>
      <c r="F60" s="65">
        <f>INDEX(SILK_BS!$A$10:$F$62,MATCH(SILK_DCF!$B60,SILK_BS!$A$10:$A$62,0),MATCH(SILK_DCF!F$59,SILK_BS!$A$10:$F$10,0))</f>
        <v>42073</v>
      </c>
      <c r="G60" s="65">
        <f>INDEX(SILK_BS!$A$10:$F$62,MATCH(SILK_DCF!$B60,SILK_BS!$A$10:$A$62,0),MATCH(SILK_DCF!G$59,SILK_BS!$A$10:$F$10,0))</f>
        <v>36662</v>
      </c>
      <c r="H60" s="65">
        <f>INDEX(SILK_BS!$A$10:$F$62,MATCH(SILK_DCF!$B60,SILK_BS!$A$10:$A$62,0),MATCH(SILK_DCF!H$59,SILK_BS!$A$10:$F$10,0))</f>
        <v>112490</v>
      </c>
      <c r="I60" s="65">
        <f>INDEX(SILK_BS!$A$10:$F$62,MATCH(SILK_DCF!$B60,SILK_BS!$A$10:$A$62,0),MATCH(SILK_DCF!I$59,SILK_BS!$A$10:$F$10,0))</f>
        <v>173328</v>
      </c>
      <c r="J60" s="66">
        <f>INDEX(SILK_BS!$A$10:$F$62,MATCH(SILK_DCF!$B60,SILK_BS!$A$10:$A$62,0),MATCH(SILK_DCF!J$59,SILK_BS!$A$10:$F$10,0))</f>
        <v>143326</v>
      </c>
      <c r="K60" s="56"/>
      <c r="L60" s="56"/>
      <c r="M60" s="56"/>
      <c r="N60" s="56"/>
      <c r="O60" s="56"/>
      <c r="P60" s="56"/>
      <c r="Q60" s="56"/>
      <c r="R60" s="56"/>
      <c r="S60" s="56"/>
      <c r="T60" s="56"/>
    </row>
    <row r="61" spans="2:20" outlineLevel="1" x14ac:dyDescent="0.25">
      <c r="B61" s="1" t="s">
        <v>13</v>
      </c>
      <c r="F61" s="54">
        <f>INDEX(SILK_BS!$A$10:$F$62,MATCH(SILK_DCF!$B61,SILK_BS!$A$10:$A$62,0),MATCH(SILK_DCF!F$59,SILK_BS!$A$10:$F$10,0))</f>
        <v>33331</v>
      </c>
      <c r="G61" s="54">
        <f>INDEX(SILK_BS!$A$10:$F$62,MATCH(SILK_DCF!$B61,SILK_BS!$A$10:$A$62,0),MATCH(SILK_DCF!G$59,SILK_BS!$A$10:$F$10,0))</f>
        <v>24990</v>
      </c>
      <c r="H61" s="54">
        <f>INDEX(SILK_BS!$A$10:$F$62,MATCH(SILK_DCF!$B61,SILK_BS!$A$10:$A$62,0),MATCH(SILK_DCF!H$59,SILK_BS!$A$10:$F$10,0))</f>
        <v>39181</v>
      </c>
      <c r="I61" s="54">
        <f>INDEX(SILK_BS!$A$10:$F$62,MATCH(SILK_DCF!$B61,SILK_BS!$A$10:$A$62,0),MATCH(SILK_DCF!I$59,SILK_BS!$A$10:$F$10,0))</f>
        <v>69466</v>
      </c>
      <c r="J61" s="55">
        <f>INDEX(SILK_BS!$A$10:$F$62,MATCH(SILK_DCF!$B61,SILK_BS!$A$10:$A$62,0),MATCH(SILK_DCF!J$59,SILK_BS!$A$10:$F$10,0))</f>
        <v>110231</v>
      </c>
      <c r="K61" s="56"/>
      <c r="L61" s="56"/>
      <c r="M61" s="56"/>
      <c r="N61" s="56"/>
      <c r="O61" s="56"/>
      <c r="P61" s="56"/>
      <c r="Q61" s="56"/>
      <c r="R61" s="56"/>
      <c r="S61" s="56"/>
      <c r="T61" s="56"/>
    </row>
    <row r="62" spans="2:20" outlineLevel="1" x14ac:dyDescent="0.25">
      <c r="B62" s="1" t="s">
        <v>12</v>
      </c>
      <c r="F62" s="54">
        <f>INDEX(SILK_BS!$A$10:$F$62,MATCH(SILK_DCF!$B62,SILK_BS!$A$10:$A$62,0),MATCH(SILK_DCF!F$59,SILK_BS!$A$10:$F$10,0))</f>
        <v>0</v>
      </c>
      <c r="G62" s="54">
        <f>INDEX(SILK_BS!$A$10:$F$62,MATCH(SILK_DCF!$B62,SILK_BS!$A$10:$A$62,0),MATCH(SILK_DCF!G$59,SILK_BS!$A$10:$F$10,0))</f>
        <v>0</v>
      </c>
      <c r="H62" s="54">
        <f>INDEX(SILK_BS!$A$10:$F$62,MATCH(SILK_DCF!$B62,SILK_BS!$A$10:$A$62,0),MATCH(SILK_DCF!H$59,SILK_BS!$A$10:$F$10,0))</f>
        <v>51508</v>
      </c>
      <c r="I62" s="54">
        <f>INDEX(SILK_BS!$A$10:$F$62,MATCH(SILK_DCF!$B62,SILK_BS!$A$10:$A$62,0),MATCH(SILK_DCF!I$59,SILK_BS!$A$10:$F$10,0))</f>
        <v>78016</v>
      </c>
      <c r="J62" s="55">
        <f>INDEX(SILK_BS!$A$10:$F$62,MATCH(SILK_DCF!$B62,SILK_BS!$A$10:$A$62,0),MATCH(SILK_DCF!J$59,SILK_BS!$A$10:$F$10,0))</f>
        <v>0</v>
      </c>
      <c r="K62" s="56"/>
      <c r="L62" s="56"/>
      <c r="M62" s="56"/>
      <c r="N62" s="56"/>
      <c r="O62" s="56"/>
      <c r="P62" s="56"/>
      <c r="Q62" s="56"/>
      <c r="R62" s="56"/>
      <c r="S62" s="56"/>
      <c r="T62" s="56"/>
    </row>
    <row r="63" spans="2:20" outlineLevel="1" x14ac:dyDescent="0.25">
      <c r="B63" s="1" t="s">
        <v>11</v>
      </c>
      <c r="F63" s="56">
        <f>F60-F61-F62</f>
        <v>8742</v>
      </c>
      <c r="G63" s="56">
        <f t="shared" ref="G63:J63" si="82">G60-G61-G62</f>
        <v>11672</v>
      </c>
      <c r="H63" s="56">
        <f t="shared" si="82"/>
        <v>21801</v>
      </c>
      <c r="I63" s="56">
        <f t="shared" si="82"/>
        <v>25846</v>
      </c>
      <c r="J63" s="70">
        <f t="shared" si="82"/>
        <v>33095</v>
      </c>
      <c r="K63" s="56"/>
      <c r="L63" s="56"/>
      <c r="M63" s="56"/>
      <c r="N63" s="56"/>
      <c r="O63" s="56"/>
      <c r="P63" s="56"/>
      <c r="Q63" s="56"/>
      <c r="R63" s="56"/>
      <c r="S63" s="56"/>
      <c r="T63" s="56"/>
    </row>
    <row r="64" spans="2:20" outlineLevel="1" x14ac:dyDescent="0.25">
      <c r="F64" s="56"/>
      <c r="G64" s="56"/>
      <c r="H64" s="56"/>
      <c r="I64" s="56"/>
      <c r="J64" s="70"/>
      <c r="K64" s="56"/>
      <c r="L64" s="56"/>
      <c r="M64" s="56"/>
      <c r="N64" s="56"/>
      <c r="O64" s="56"/>
      <c r="P64" s="56"/>
      <c r="Q64" s="56"/>
      <c r="R64" s="56"/>
      <c r="S64" s="56"/>
      <c r="T64" s="56"/>
    </row>
    <row r="65" spans="1:20" outlineLevel="1" x14ac:dyDescent="0.25">
      <c r="B65" s="1" t="s">
        <v>10</v>
      </c>
      <c r="F65" s="54">
        <f>INDEX(SILK_BS!$A$10:$F$62,MATCH(SILK_DCF!$B65,SILK_BS!$A$10:$A$62,0),MATCH(SILK_DCF!F$59,SILK_BS!$A$10:$F$10,0))</f>
        <v>4655</v>
      </c>
      <c r="G65" s="54">
        <f>INDEX(SILK_BS!$A$10:$F$62,MATCH(SILK_DCF!$B65,SILK_BS!$A$10:$A$62,0),MATCH(SILK_DCF!G$59,SILK_BS!$A$10:$F$10,0))</f>
        <v>8838</v>
      </c>
      <c r="H65" s="54">
        <f>INDEX(SILK_BS!$A$10:$F$62,MATCH(SILK_DCF!$B65,SILK_BS!$A$10:$A$62,0),MATCH(SILK_DCF!H$59,SILK_BS!$A$10:$F$10,0))</f>
        <v>16932</v>
      </c>
      <c r="I65" s="54">
        <f>INDEX(SILK_BS!$A$10:$F$62,MATCH(SILK_DCF!$B65,SILK_BS!$A$10:$A$62,0),MATCH(SILK_DCF!I$59,SILK_BS!$A$10:$F$10,0))</f>
        <v>19555</v>
      </c>
      <c r="J65" s="55">
        <f>INDEX(SILK_BS!$A$10:$F$62,MATCH(SILK_DCF!$B65,SILK_BS!$A$10:$A$62,0),MATCH(SILK_DCF!J$59,SILK_BS!$A$10:$F$10,0))</f>
        <v>26086</v>
      </c>
      <c r="K65" s="56"/>
      <c r="L65" s="56"/>
      <c r="M65" s="56"/>
      <c r="N65" s="56"/>
      <c r="O65" s="56"/>
      <c r="P65" s="56"/>
      <c r="Q65" s="56"/>
      <c r="R65" s="56"/>
      <c r="S65" s="56"/>
      <c r="T65" s="56"/>
    </row>
    <row r="66" spans="1:20" outlineLevel="1" x14ac:dyDescent="0.25">
      <c r="B66" s="1" t="s">
        <v>112</v>
      </c>
      <c r="F66" s="54">
        <f>INDEX(SILK_BS!$A$10:$F$62,MATCH(SILK_DCF!$B66,SILK_BS!$A$10:$A$62,0),MATCH(SILK_DCF!F$59,SILK_BS!$A$10:$F$10,0))</f>
        <v>0</v>
      </c>
      <c r="G66" s="54">
        <f>INDEX(SILK_BS!$A$10:$F$62,MATCH(SILK_DCF!$B66,SILK_BS!$A$10:$A$62,0),MATCH(SILK_DCF!G$59,SILK_BS!$A$10:$F$10,0))</f>
        <v>0</v>
      </c>
      <c r="H66" s="54">
        <f>INDEX(SILK_BS!$A$10:$F$62,MATCH(SILK_DCF!$B66,SILK_BS!$A$10:$A$62,0),MATCH(SILK_DCF!H$59,SILK_BS!$A$10:$F$10,0))</f>
        <v>769</v>
      </c>
      <c r="I66" s="54">
        <f>INDEX(SILK_BS!$A$10:$F$62,MATCH(SILK_DCF!$B66,SILK_BS!$A$10:$A$62,0),MATCH(SILK_DCF!I$59,SILK_BS!$A$10:$F$10,0))</f>
        <v>850</v>
      </c>
      <c r="J66" s="55">
        <f>INDEX(SILK_BS!$A$10:$F$62,MATCH(SILK_DCF!$B66,SILK_BS!$A$10:$A$62,0),MATCH(SILK_DCF!J$59,SILK_BS!$A$10:$F$10,0))</f>
        <v>1294</v>
      </c>
      <c r="K66" s="56"/>
      <c r="L66" s="56"/>
      <c r="M66" s="56"/>
      <c r="N66" s="56"/>
      <c r="O66" s="56"/>
      <c r="P66" s="56"/>
      <c r="Q66" s="56"/>
      <c r="R66" s="56"/>
      <c r="S66" s="56"/>
      <c r="T66" s="56"/>
    </row>
    <row r="67" spans="1:20" outlineLevel="1" x14ac:dyDescent="0.25">
      <c r="B67" s="1" t="s">
        <v>9</v>
      </c>
      <c r="F67" s="56">
        <f>F65-F66</f>
        <v>4655</v>
      </c>
      <c r="G67" s="56">
        <f t="shared" ref="G67:J67" si="83">G65-G66</f>
        <v>8838</v>
      </c>
      <c r="H67" s="56">
        <f t="shared" si="83"/>
        <v>16163</v>
      </c>
      <c r="I67" s="56">
        <f t="shared" si="83"/>
        <v>18705</v>
      </c>
      <c r="J67" s="70">
        <f t="shared" si="83"/>
        <v>24792</v>
      </c>
      <c r="K67" s="56"/>
      <c r="L67" s="56"/>
      <c r="M67" s="56"/>
      <c r="N67" s="56"/>
      <c r="O67" s="56"/>
      <c r="P67" s="56"/>
      <c r="Q67" s="56"/>
      <c r="R67" s="56"/>
      <c r="S67" s="56"/>
      <c r="T67" s="56"/>
    </row>
    <row r="68" spans="1:20" outlineLevel="1" x14ac:dyDescent="0.25">
      <c r="F68" s="56"/>
      <c r="G68" s="56"/>
      <c r="H68" s="56"/>
      <c r="I68" s="56"/>
      <c r="J68" s="70"/>
      <c r="K68" s="56"/>
      <c r="L68" s="56"/>
      <c r="M68" s="56"/>
      <c r="N68" s="56"/>
      <c r="O68" s="56"/>
      <c r="P68" s="56"/>
      <c r="Q68" s="56"/>
      <c r="R68" s="56"/>
      <c r="S68" s="56"/>
      <c r="T68" s="56"/>
    </row>
    <row r="69" spans="1:20" outlineLevel="1" x14ac:dyDescent="0.25">
      <c r="B69" s="3" t="s">
        <v>8</v>
      </c>
      <c r="F69" s="56">
        <f>F63-F67</f>
        <v>4087</v>
      </c>
      <c r="G69" s="56">
        <f t="shared" ref="G69:J69" si="84">G63-G67</f>
        <v>2834</v>
      </c>
      <c r="H69" s="56">
        <f t="shared" si="84"/>
        <v>5638</v>
      </c>
      <c r="I69" s="56">
        <f t="shared" si="84"/>
        <v>7141</v>
      </c>
      <c r="J69" s="70">
        <f t="shared" si="84"/>
        <v>8303</v>
      </c>
      <c r="K69" s="56">
        <f>K75*K9</f>
        <v>10553.4</v>
      </c>
      <c r="L69" s="56">
        <f t="shared" ref="L69:T69" si="85">L75*L9</f>
        <v>13719.42</v>
      </c>
      <c r="M69" s="56">
        <f t="shared" si="85"/>
        <v>17149.275000000001</v>
      </c>
      <c r="N69" s="56">
        <f t="shared" si="85"/>
        <v>21093.608250000001</v>
      </c>
      <c r="O69" s="56">
        <f t="shared" si="85"/>
        <v>25312.329900000004</v>
      </c>
      <c r="P69" s="56">
        <f t="shared" si="85"/>
        <v>29109.179385000003</v>
      </c>
      <c r="Q69" s="56">
        <f t="shared" si="85"/>
        <v>32020.097323500006</v>
      </c>
      <c r="R69" s="56">
        <f t="shared" si="85"/>
        <v>35222.107055850014</v>
      </c>
      <c r="S69" s="56">
        <f t="shared" si="85"/>
        <v>38039.875620318016</v>
      </c>
      <c r="T69" s="56">
        <f t="shared" si="85"/>
        <v>41083.065669943455</v>
      </c>
    </row>
    <row r="70" spans="1:20" outlineLevel="1" x14ac:dyDescent="0.25">
      <c r="B70" s="3" t="s">
        <v>7</v>
      </c>
      <c r="F70" s="67"/>
      <c r="G70" s="67">
        <f>G69-F69</f>
        <v>-1253</v>
      </c>
      <c r="H70" s="67">
        <f t="shared" ref="H70:K70" si="86">H69-G69</f>
        <v>2804</v>
      </c>
      <c r="I70" s="67">
        <f t="shared" si="86"/>
        <v>1503</v>
      </c>
      <c r="J70" s="71">
        <f t="shared" si="86"/>
        <v>1162</v>
      </c>
      <c r="K70" s="67">
        <f t="shared" si="86"/>
        <v>2250.3999999999996</v>
      </c>
      <c r="L70" s="67">
        <f t="shared" ref="L70" si="87">L69-K69</f>
        <v>3166.0200000000004</v>
      </c>
      <c r="M70" s="67">
        <f t="shared" ref="M70" si="88">M69-L69</f>
        <v>3429.8550000000014</v>
      </c>
      <c r="N70" s="67">
        <f t="shared" ref="N70" si="89">N69-M69</f>
        <v>3944.3332499999997</v>
      </c>
      <c r="O70" s="67">
        <f t="shared" ref="O70" si="90">O69-N69</f>
        <v>4218.7216500000031</v>
      </c>
      <c r="P70" s="67">
        <f t="shared" ref="P70" si="91">P69-O69</f>
        <v>3796.8494849999988</v>
      </c>
      <c r="Q70" s="67">
        <f t="shared" ref="Q70" si="92">Q69-P69</f>
        <v>2910.9179385000025</v>
      </c>
      <c r="R70" s="67">
        <f t="shared" ref="R70" si="93">R69-Q69</f>
        <v>3202.0097323500086</v>
      </c>
      <c r="S70" s="67">
        <f t="shared" ref="S70" si="94">S69-R69</f>
        <v>2817.7685644680023</v>
      </c>
      <c r="T70" s="67">
        <f t="shared" ref="T70" si="95">T69-S69</f>
        <v>3043.1900496254384</v>
      </c>
    </row>
    <row r="71" spans="1:20" outlineLevel="1" x14ac:dyDescent="0.25"/>
    <row r="72" spans="1:20" outlineLevel="1" x14ac:dyDescent="0.25"/>
    <row r="73" spans="1:20" outlineLevel="1" x14ac:dyDescent="0.25">
      <c r="F73" s="21" t="s">
        <v>6</v>
      </c>
      <c r="G73" s="20"/>
      <c r="H73" s="20"/>
      <c r="I73" s="20"/>
      <c r="J73" s="19"/>
      <c r="K73" s="21" t="s">
        <v>5</v>
      </c>
      <c r="L73" s="20"/>
      <c r="M73" s="20"/>
      <c r="N73" s="20"/>
      <c r="O73" s="19"/>
      <c r="P73" s="19"/>
      <c r="Q73" s="19"/>
      <c r="R73" s="19"/>
      <c r="S73" s="19"/>
      <c r="T73" s="19"/>
    </row>
    <row r="74" spans="1:20" outlineLevel="1" x14ac:dyDescent="0.25">
      <c r="F74" s="18">
        <f>F59</f>
        <v>2017</v>
      </c>
      <c r="G74" s="16">
        <f t="shared" ref="G74:O74" si="96">F74+1</f>
        <v>2018</v>
      </c>
      <c r="H74" s="16">
        <f t="shared" si="96"/>
        <v>2019</v>
      </c>
      <c r="I74" s="16">
        <f t="shared" si="96"/>
        <v>2020</v>
      </c>
      <c r="J74" s="17">
        <f t="shared" si="96"/>
        <v>2021</v>
      </c>
      <c r="K74" s="16">
        <f t="shared" si="96"/>
        <v>2022</v>
      </c>
      <c r="L74" s="16">
        <f t="shared" si="96"/>
        <v>2023</v>
      </c>
      <c r="M74" s="16">
        <f t="shared" si="96"/>
        <v>2024</v>
      </c>
      <c r="N74" s="16">
        <f t="shared" si="96"/>
        <v>2025</v>
      </c>
      <c r="O74" s="16">
        <f t="shared" si="96"/>
        <v>2026</v>
      </c>
      <c r="P74" s="16">
        <f t="shared" ref="P74" si="97">O74+1</f>
        <v>2027</v>
      </c>
      <c r="Q74" s="16">
        <f t="shared" ref="Q74" si="98">P74+1</f>
        <v>2028</v>
      </c>
      <c r="R74" s="16">
        <f t="shared" ref="R74" si="99">Q74+1</f>
        <v>2029</v>
      </c>
      <c r="S74" s="16">
        <f t="shared" ref="S74" si="100">R74+1</f>
        <v>2030</v>
      </c>
      <c r="T74" s="16">
        <f t="shared" ref="T74" si="101">S74+1</f>
        <v>2031</v>
      </c>
    </row>
    <row r="75" spans="1:20" outlineLevel="1" x14ac:dyDescent="0.25">
      <c r="B75" s="1" t="s">
        <v>4</v>
      </c>
      <c r="F75" s="6">
        <f>F69/F9</f>
        <v>0.2866460934212372</v>
      </c>
      <c r="G75" s="6">
        <f t="shared" ref="G75:J75" si="102">G69/G9</f>
        <v>8.2009433689267011E-2</v>
      </c>
      <c r="H75" s="6">
        <f t="shared" si="102"/>
        <v>8.8992013132556738E-2</v>
      </c>
      <c r="I75" s="6">
        <f t="shared" si="102"/>
        <v>9.4926023900993001E-2</v>
      </c>
      <c r="J75" s="15">
        <f t="shared" si="102"/>
        <v>8.1823109140182315E-2</v>
      </c>
      <c r="K75" s="7">
        <v>0.08</v>
      </c>
      <c r="L75" s="6">
        <f>$K$75</f>
        <v>0.08</v>
      </c>
      <c r="M75" s="6">
        <f t="shared" ref="M75:T75" si="103">$K$75</f>
        <v>0.08</v>
      </c>
      <c r="N75" s="6">
        <f t="shared" si="103"/>
        <v>0.08</v>
      </c>
      <c r="O75" s="6">
        <f t="shared" si="103"/>
        <v>0.08</v>
      </c>
      <c r="P75" s="6">
        <f t="shared" si="103"/>
        <v>0.08</v>
      </c>
      <c r="Q75" s="6">
        <f t="shared" si="103"/>
        <v>0.08</v>
      </c>
      <c r="R75" s="6">
        <f t="shared" si="103"/>
        <v>0.08</v>
      </c>
      <c r="S75" s="6">
        <f t="shared" si="103"/>
        <v>0.08</v>
      </c>
      <c r="T75" s="6">
        <f t="shared" si="103"/>
        <v>0.08</v>
      </c>
    </row>
    <row r="76" spans="1:20" outlineLevel="1" x14ac:dyDescent="0.25"/>
    <row r="77" spans="1:20" ht="14.4" x14ac:dyDescent="0.3">
      <c r="A77" s="1" t="s">
        <v>193</v>
      </c>
      <c r="B77" s="89" t="s">
        <v>194</v>
      </c>
      <c r="C77" s="90"/>
      <c r="D77" s="89"/>
      <c r="E77" s="89"/>
      <c r="F77" s="90"/>
      <c r="G77" s="90"/>
      <c r="H77" s="90"/>
      <c r="I77" s="90"/>
      <c r="J77" s="90"/>
      <c r="K77" s="90"/>
      <c r="L77" s="90"/>
      <c r="M77" s="90"/>
      <c r="N77" s="90"/>
      <c r="O77" s="90"/>
      <c r="P77" s="90"/>
      <c r="Q77" s="90"/>
      <c r="R77" s="90"/>
      <c r="S77" s="90"/>
      <c r="T77" s="90"/>
    </row>
    <row r="78" spans="1:20" hidden="1" outlineLevel="1" x14ac:dyDescent="0.25"/>
    <row r="79" spans="1:20" hidden="1" outlineLevel="1" x14ac:dyDescent="0.25">
      <c r="H79" s="91"/>
      <c r="I79" s="91"/>
      <c r="J79" s="91"/>
      <c r="K79" s="91"/>
      <c r="L79" s="91"/>
      <c r="M79" s="91"/>
      <c r="N79" s="91"/>
    </row>
    <row r="80" spans="1:20" hidden="1" outlineLevel="1" x14ac:dyDescent="0.25">
      <c r="B80" s="92"/>
      <c r="C80" s="92"/>
      <c r="D80" s="92"/>
      <c r="E80" s="92"/>
      <c r="F80" s="93" t="s">
        <v>195</v>
      </c>
      <c r="G80" s="94"/>
      <c r="H80" s="95"/>
      <c r="I80" s="96"/>
      <c r="J80" s="92"/>
      <c r="K80" s="97" t="s">
        <v>196</v>
      </c>
      <c r="L80" s="95"/>
      <c r="M80" s="95"/>
      <c r="N80" s="96"/>
      <c r="O80" s="92"/>
    </row>
    <row r="81" spans="1:20" hidden="1" outlineLevel="1" x14ac:dyDescent="0.25">
      <c r="F81" s="98" t="s">
        <v>197</v>
      </c>
      <c r="G81" s="99"/>
      <c r="H81" s="100"/>
      <c r="I81" s="101"/>
      <c r="J81" s="91"/>
      <c r="K81" s="102" t="s">
        <v>197</v>
      </c>
      <c r="L81" s="100"/>
      <c r="M81" s="100"/>
      <c r="N81" s="101"/>
    </row>
    <row r="82" spans="1:20" hidden="1" outlineLevel="1" x14ac:dyDescent="0.25">
      <c r="F82" s="98" t="s">
        <v>198</v>
      </c>
      <c r="G82" s="99"/>
      <c r="H82" s="100"/>
      <c r="I82" s="101"/>
      <c r="J82" s="91"/>
      <c r="K82" s="102" t="s">
        <v>199</v>
      </c>
      <c r="L82" s="100"/>
      <c r="M82" s="100"/>
      <c r="N82" s="101"/>
    </row>
    <row r="83" spans="1:20" hidden="1" outlineLevel="1" x14ac:dyDescent="0.25">
      <c r="F83" s="98" t="s">
        <v>200</v>
      </c>
      <c r="G83" s="99"/>
      <c r="H83" s="100"/>
      <c r="I83" s="103"/>
      <c r="J83" s="91"/>
      <c r="K83" s="102" t="s">
        <v>200</v>
      </c>
      <c r="L83" s="100"/>
      <c r="M83" s="100"/>
      <c r="N83" s="103"/>
    </row>
    <row r="84" spans="1:20" hidden="1" outlineLevel="1" x14ac:dyDescent="0.25">
      <c r="F84" s="98" t="s">
        <v>201</v>
      </c>
      <c r="G84" s="99"/>
      <c r="H84" s="100"/>
      <c r="I84" s="103"/>
      <c r="J84" s="91"/>
      <c r="K84" s="102"/>
      <c r="L84" s="100"/>
      <c r="M84" s="100"/>
      <c r="N84" s="104"/>
    </row>
    <row r="85" spans="1:20" hidden="1" outlineLevel="1" x14ac:dyDescent="0.25">
      <c r="F85" s="98" t="s">
        <v>202</v>
      </c>
      <c r="G85" s="99"/>
      <c r="H85" s="100"/>
      <c r="I85" s="105"/>
      <c r="J85" s="91"/>
      <c r="K85" s="102"/>
      <c r="L85" s="100"/>
      <c r="M85" s="100"/>
      <c r="N85" s="104"/>
    </row>
    <row r="86" spans="1:20" hidden="1" outlineLevel="1" x14ac:dyDescent="0.25">
      <c r="F86" s="98" t="s">
        <v>203</v>
      </c>
      <c r="G86" s="99"/>
      <c r="H86" s="100"/>
      <c r="I86" s="105"/>
      <c r="J86" s="91"/>
      <c r="K86" s="102" t="s">
        <v>203</v>
      </c>
      <c r="L86" s="100"/>
      <c r="M86" s="100"/>
      <c r="N86" s="106"/>
    </row>
    <row r="87" spans="1:20" hidden="1" outlineLevel="1" x14ac:dyDescent="0.25">
      <c r="F87" s="98" t="s">
        <v>204</v>
      </c>
      <c r="G87" s="99"/>
      <c r="H87" s="100"/>
      <c r="I87" s="105"/>
      <c r="J87" s="91"/>
      <c r="K87" s="102"/>
      <c r="L87" s="100"/>
      <c r="M87" s="100"/>
      <c r="N87" s="104"/>
    </row>
    <row r="88" spans="1:20" hidden="1" outlineLevel="1" x14ac:dyDescent="0.25">
      <c r="F88" s="98" t="s">
        <v>205</v>
      </c>
      <c r="G88" s="99"/>
      <c r="H88" s="100"/>
      <c r="I88" s="101"/>
      <c r="J88" s="91"/>
      <c r="K88" s="102" t="s">
        <v>205</v>
      </c>
      <c r="L88" s="100"/>
      <c r="M88" s="100"/>
      <c r="N88" s="101"/>
    </row>
    <row r="89" spans="1:20" hidden="1" outlineLevel="1" x14ac:dyDescent="0.25">
      <c r="F89" s="98" t="s">
        <v>206</v>
      </c>
      <c r="G89" s="99"/>
      <c r="H89" s="99"/>
      <c r="I89" s="105"/>
      <c r="K89" s="98" t="s">
        <v>206</v>
      </c>
      <c r="L89" s="99"/>
      <c r="M89" s="99"/>
      <c r="N89" s="105"/>
    </row>
    <row r="90" spans="1:20" hidden="1" outlineLevel="1" x14ac:dyDescent="0.25">
      <c r="F90" s="107"/>
      <c r="G90" s="108"/>
      <c r="H90" s="108"/>
      <c r="I90" s="109"/>
      <c r="K90" s="107"/>
      <c r="L90" s="108"/>
      <c r="M90" s="108"/>
      <c r="N90" s="109"/>
    </row>
    <row r="91" spans="1:20" hidden="1" outlineLevel="1" x14ac:dyDescent="0.25"/>
    <row r="92" spans="1:20" ht="14.4" collapsed="1" x14ac:dyDescent="0.3">
      <c r="A92" s="1" t="s">
        <v>193</v>
      </c>
      <c r="B92" s="5" t="s">
        <v>207</v>
      </c>
      <c r="C92" s="4"/>
      <c r="D92" s="5"/>
      <c r="E92" s="5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</row>
    <row r="93" spans="1:20" ht="14.4" outlineLevel="1" x14ac:dyDescent="0.3">
      <c r="B93" s="110"/>
      <c r="C93" s="111"/>
      <c r="D93" s="110"/>
      <c r="E93" s="110"/>
      <c r="F93" s="111"/>
      <c r="G93" s="111"/>
      <c r="H93" s="111"/>
      <c r="I93" s="111"/>
      <c r="J93" s="111"/>
      <c r="K93" s="111"/>
      <c r="L93" s="111"/>
      <c r="M93" s="111"/>
      <c r="N93" s="111"/>
      <c r="O93" s="111"/>
    </row>
    <row r="94" spans="1:20" outlineLevel="1" x14ac:dyDescent="0.25">
      <c r="F94" s="3" t="s">
        <v>208</v>
      </c>
      <c r="G94" s="3"/>
    </row>
    <row r="95" spans="1:20" outlineLevel="1" x14ac:dyDescent="0.25">
      <c r="B95" s="112" t="s">
        <v>209</v>
      </c>
    </row>
    <row r="96" spans="1:20" outlineLevel="1" x14ac:dyDescent="0.25">
      <c r="B96" s="113" t="s">
        <v>210</v>
      </c>
      <c r="F96"/>
      <c r="G96" s="114"/>
      <c r="H96" s="114"/>
    </row>
    <row r="97" spans="2:10" outlineLevel="1" x14ac:dyDescent="0.25">
      <c r="B97" s="113" t="s">
        <v>211</v>
      </c>
      <c r="F97"/>
      <c r="G97" s="114"/>
      <c r="H97" s="114"/>
    </row>
    <row r="98" spans="2:10" outlineLevel="1" x14ac:dyDescent="0.25">
      <c r="B98" s="113" t="s">
        <v>212</v>
      </c>
      <c r="F98"/>
      <c r="G98" s="114"/>
      <c r="H98" s="114" t="s">
        <v>213</v>
      </c>
    </row>
    <row r="99" spans="2:10" outlineLevel="1" x14ac:dyDescent="0.25">
      <c r="B99" s="113" t="s">
        <v>214</v>
      </c>
      <c r="F99"/>
      <c r="G99" s="114"/>
      <c r="H99" s="114"/>
    </row>
    <row r="100" spans="2:10" outlineLevel="1" x14ac:dyDescent="0.25">
      <c r="B100" s="114"/>
      <c r="F100"/>
      <c r="G100" s="114"/>
      <c r="H100" s="114"/>
    </row>
    <row r="101" spans="2:10" outlineLevel="1" x14ac:dyDescent="0.25">
      <c r="B101" s="113" t="s">
        <v>215</v>
      </c>
      <c r="F101"/>
      <c r="G101" s="114"/>
      <c r="H101" s="114"/>
    </row>
    <row r="102" spans="2:10" outlineLevel="1" x14ac:dyDescent="0.25">
      <c r="B102" s="113" t="s">
        <v>216</v>
      </c>
      <c r="F102"/>
      <c r="G102" s="114"/>
      <c r="H102" s="114"/>
    </row>
    <row r="103" spans="2:10" outlineLevel="1" x14ac:dyDescent="0.25">
      <c r="B103" s="114"/>
      <c r="F103"/>
      <c r="G103" s="114"/>
      <c r="H103" s="114"/>
    </row>
    <row r="104" spans="2:10" outlineLevel="1" x14ac:dyDescent="0.25">
      <c r="B104" s="112" t="s">
        <v>217</v>
      </c>
      <c r="F104"/>
      <c r="G104" s="114"/>
      <c r="H104" s="114"/>
    </row>
    <row r="105" spans="2:10" outlineLevel="1" x14ac:dyDescent="0.25">
      <c r="B105" s="113" t="s">
        <v>218</v>
      </c>
      <c r="F105"/>
      <c r="G105" s="114"/>
      <c r="H105" s="114"/>
    </row>
    <row r="106" spans="2:10" outlineLevel="1" x14ac:dyDescent="0.25">
      <c r="B106" s="113" t="s">
        <v>219</v>
      </c>
      <c r="F106"/>
      <c r="G106" s="114"/>
      <c r="H106" s="114"/>
    </row>
    <row r="107" spans="2:10" outlineLevel="1" x14ac:dyDescent="0.25">
      <c r="B107" s="113" t="s">
        <v>220</v>
      </c>
      <c r="F107"/>
      <c r="G107" s="114"/>
      <c r="H107" s="114"/>
    </row>
    <row r="108" spans="2:10" outlineLevel="1" x14ac:dyDescent="0.25">
      <c r="B108" s="113" t="s">
        <v>221</v>
      </c>
      <c r="F108"/>
      <c r="G108" s="114"/>
      <c r="H108" s="114"/>
    </row>
    <row r="109" spans="2:10" outlineLevel="1" x14ac:dyDescent="0.25">
      <c r="B109" s="114"/>
      <c r="F109"/>
      <c r="G109" s="114"/>
      <c r="H109" s="114"/>
      <c r="J109" s="26"/>
    </row>
    <row r="110" spans="2:10" outlineLevel="1" x14ac:dyDescent="0.25">
      <c r="B110" s="112" t="s">
        <v>222</v>
      </c>
      <c r="F110"/>
      <c r="G110" s="114"/>
      <c r="H110" s="114"/>
    </row>
    <row r="111" spans="2:10" outlineLevel="1" x14ac:dyDescent="0.25">
      <c r="B111" s="113" t="s">
        <v>223</v>
      </c>
      <c r="F111"/>
      <c r="G111" s="114"/>
      <c r="H111" s="114"/>
    </row>
    <row r="112" spans="2:10" outlineLevel="1" x14ac:dyDescent="0.25">
      <c r="B112" s="113" t="s">
        <v>224</v>
      </c>
      <c r="F112"/>
      <c r="G112" s="114"/>
      <c r="H112" s="114"/>
    </row>
    <row r="113" spans="1:20" outlineLevel="1" x14ac:dyDescent="0.25">
      <c r="B113" s="113" t="s">
        <v>225</v>
      </c>
      <c r="F113" s="117"/>
      <c r="G113" s="114"/>
      <c r="H113" s="114"/>
    </row>
    <row r="114" spans="1:20" outlineLevel="1" x14ac:dyDescent="0.25">
      <c r="B114" s="112" t="s">
        <v>222</v>
      </c>
      <c r="F114" s="115"/>
      <c r="G114" s="114"/>
      <c r="H114" s="114"/>
    </row>
    <row r="115" spans="1:20" outlineLevel="1" x14ac:dyDescent="0.25">
      <c r="B115" s="114"/>
      <c r="F115" s="114"/>
      <c r="G115" s="114"/>
      <c r="H115" s="114"/>
    </row>
    <row r="116" spans="1:20" outlineLevel="1" x14ac:dyDescent="0.25">
      <c r="B116" s="112" t="s">
        <v>226</v>
      </c>
      <c r="F116" s="115"/>
      <c r="G116" s="114"/>
      <c r="H116" s="114"/>
    </row>
    <row r="117" spans="1:20" outlineLevel="1" x14ac:dyDescent="0.25"/>
    <row r="118" spans="1:20" ht="14.4" x14ac:dyDescent="0.3">
      <c r="A118" s="1" t="s">
        <v>193</v>
      </c>
      <c r="B118" s="5" t="s">
        <v>227</v>
      </c>
      <c r="C118" s="4"/>
      <c r="D118" s="5"/>
      <c r="E118" s="5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</row>
    <row r="119" spans="1:20" outlineLevel="1" x14ac:dyDescent="0.25">
      <c r="B119" s="113"/>
      <c r="C119" s="113"/>
      <c r="D119" s="113"/>
      <c r="E119" s="113"/>
      <c r="F119" s="113"/>
      <c r="G119" s="113"/>
      <c r="H119" s="113"/>
      <c r="I119" s="113"/>
      <c r="J119" s="113"/>
      <c r="K119" s="113"/>
      <c r="L119" s="113"/>
      <c r="M119" s="113"/>
    </row>
    <row r="120" spans="1:20" outlineLevel="1" x14ac:dyDescent="0.25">
      <c r="B120" s="113"/>
      <c r="C120" s="113"/>
      <c r="D120" s="113"/>
      <c r="E120" s="113"/>
      <c r="F120" s="113"/>
      <c r="G120" s="113"/>
      <c r="H120" s="113"/>
      <c r="I120" s="113"/>
      <c r="J120" s="113"/>
      <c r="K120" s="113"/>
      <c r="L120" s="113"/>
      <c r="M120" s="113"/>
    </row>
    <row r="121" spans="1:20" outlineLevel="1" x14ac:dyDescent="0.25">
      <c r="B121" s="113"/>
      <c r="C121" s="113"/>
      <c r="D121" s="113"/>
      <c r="E121" s="118" t="s">
        <v>228</v>
      </c>
      <c r="F121" s="118" t="s">
        <v>229</v>
      </c>
      <c r="G121" s="119" t="s">
        <v>230</v>
      </c>
      <c r="H121" s="119" t="s">
        <v>231</v>
      </c>
      <c r="I121" s="119" t="s">
        <v>232</v>
      </c>
      <c r="J121" s="113"/>
      <c r="K121" s="119" t="s">
        <v>233</v>
      </c>
    </row>
    <row r="122" spans="1:20" ht="14.4" outlineLevel="1" thickBot="1" x14ac:dyDescent="0.3">
      <c r="B122" s="120" t="s">
        <v>234</v>
      </c>
      <c r="C122" s="121" t="s">
        <v>235</v>
      </c>
      <c r="D122" s="122"/>
      <c r="E122" s="122" t="s">
        <v>236</v>
      </c>
      <c r="F122" s="122" t="s">
        <v>237</v>
      </c>
      <c r="G122" s="122" t="s">
        <v>236</v>
      </c>
      <c r="H122" s="122" t="s">
        <v>225</v>
      </c>
      <c r="I122" s="122" t="s">
        <v>225</v>
      </c>
      <c r="J122" s="113"/>
      <c r="K122" s="122" t="s">
        <v>238</v>
      </c>
    </row>
    <row r="123" spans="1:20" outlineLevel="1" x14ac:dyDescent="0.25">
      <c r="B123" s="113" t="s">
        <v>239</v>
      </c>
      <c r="C123" s="113" t="s">
        <v>240</v>
      </c>
      <c r="D123" s="113"/>
      <c r="E123" s="123">
        <v>1062</v>
      </c>
      <c r="F123" s="124">
        <f>(15420+1794)/1000</f>
        <v>17.213999999999999</v>
      </c>
      <c r="G123" s="125">
        <f>F123/E123</f>
        <v>1.6209039548022598E-2</v>
      </c>
      <c r="H123" s="126">
        <v>1.1200000000000001</v>
      </c>
      <c r="I123" s="125"/>
      <c r="J123" s="113"/>
      <c r="K123" s="116">
        <v>0.21</v>
      </c>
    </row>
    <row r="124" spans="1:20" outlineLevel="1" x14ac:dyDescent="0.25">
      <c r="B124" s="113" t="s">
        <v>241</v>
      </c>
      <c r="C124" s="113" t="s">
        <v>242</v>
      </c>
      <c r="D124" s="113"/>
      <c r="E124" s="123">
        <v>514.67700000000002</v>
      </c>
      <c r="F124" s="124">
        <f>(14460+5415+3061)/1000</f>
        <v>22.936</v>
      </c>
      <c r="G124" s="125">
        <f>F124/E124</f>
        <v>4.4563872098422892E-2</v>
      </c>
      <c r="H124" s="126">
        <v>1.44</v>
      </c>
      <c r="I124" s="125"/>
      <c r="J124" s="113"/>
      <c r="K124" s="116">
        <v>0.21</v>
      </c>
    </row>
    <row r="125" spans="1:20" outlineLevel="1" x14ac:dyDescent="0.25">
      <c r="B125" s="113" t="s">
        <v>243</v>
      </c>
      <c r="C125" s="113" t="s">
        <v>244</v>
      </c>
      <c r="D125" s="113"/>
      <c r="E125" s="123"/>
      <c r="F125" s="124"/>
      <c r="G125" s="125"/>
      <c r="H125" s="126"/>
      <c r="I125" s="125"/>
      <c r="J125" s="113"/>
      <c r="K125" s="116">
        <v>0.21</v>
      </c>
    </row>
    <row r="126" spans="1:20" outlineLevel="1" x14ac:dyDescent="0.25">
      <c r="B126" s="113" t="s">
        <v>245</v>
      </c>
      <c r="C126" s="113" t="s">
        <v>246</v>
      </c>
      <c r="D126" s="113"/>
      <c r="E126" s="123"/>
      <c r="F126" s="124"/>
      <c r="G126" s="125"/>
      <c r="H126" s="126"/>
      <c r="I126" s="125"/>
      <c r="J126" s="113"/>
      <c r="K126" s="116">
        <v>0.21</v>
      </c>
    </row>
    <row r="127" spans="1:20" outlineLevel="1" x14ac:dyDescent="0.25">
      <c r="B127" s="113" t="s">
        <v>247</v>
      </c>
      <c r="C127" s="113" t="s">
        <v>248</v>
      </c>
      <c r="D127" s="113"/>
      <c r="E127" s="123"/>
      <c r="F127" s="124"/>
      <c r="G127" s="125"/>
      <c r="H127" s="126"/>
      <c r="I127" s="125"/>
      <c r="J127" s="113"/>
      <c r="K127" s="116">
        <v>0.21</v>
      </c>
    </row>
    <row r="128" spans="1:20" outlineLevel="1" x14ac:dyDescent="0.25">
      <c r="B128" s="113"/>
      <c r="C128" s="113"/>
      <c r="D128" s="113"/>
      <c r="E128" s="123"/>
      <c r="F128" s="124"/>
      <c r="G128" s="125"/>
      <c r="H128" s="126"/>
      <c r="I128" s="127"/>
      <c r="J128" s="113"/>
      <c r="K128" s="115"/>
    </row>
    <row r="129" spans="1:20" outlineLevel="1" x14ac:dyDescent="0.25">
      <c r="B129" s="113"/>
      <c r="C129" s="113"/>
      <c r="D129" s="113"/>
      <c r="E129" s="113"/>
      <c r="F129" s="113"/>
      <c r="G129" s="113"/>
      <c r="H129" s="113"/>
      <c r="I129" s="113"/>
      <c r="J129" s="113"/>
      <c r="K129" s="113"/>
      <c r="L129" s="113"/>
      <c r="M129" s="113"/>
    </row>
    <row r="130" spans="1:20" outlineLevel="1" x14ac:dyDescent="0.25">
      <c r="B130" s="113" t="s">
        <v>249</v>
      </c>
      <c r="C130" s="127"/>
      <c r="D130" s="113"/>
      <c r="E130" s="113"/>
      <c r="F130" s="113"/>
      <c r="G130" s="113"/>
      <c r="H130" s="113"/>
      <c r="I130" s="127"/>
      <c r="J130" s="113"/>
      <c r="K130" s="127"/>
      <c r="L130" s="113"/>
      <c r="M130" s="113"/>
    </row>
    <row r="131" spans="1:20" outlineLevel="1" x14ac:dyDescent="0.25">
      <c r="B131" s="113" t="str">
        <f>C1&amp;" Debt/Equity ratio"</f>
        <v xml:space="preserve"> Debt/Equity ratio</v>
      </c>
      <c r="C131" s="127"/>
      <c r="D131" s="113"/>
      <c r="E131" s="113"/>
      <c r="F131" s="113"/>
      <c r="G131" s="113"/>
      <c r="H131" s="113"/>
      <c r="I131" s="128"/>
      <c r="J131" s="113"/>
      <c r="K131" s="129"/>
      <c r="L131" s="113"/>
      <c r="M131" s="113"/>
    </row>
    <row r="132" spans="1:20" outlineLevel="1" x14ac:dyDescent="0.25">
      <c r="B132" s="113" t="str">
        <f>C1&amp;" Tax Rate"</f>
        <v xml:space="preserve"> Tax Rate</v>
      </c>
      <c r="C132" s="129"/>
      <c r="D132" s="113"/>
      <c r="E132" s="113"/>
      <c r="F132" s="113"/>
      <c r="G132" s="113"/>
      <c r="H132" s="113"/>
      <c r="I132" s="115"/>
      <c r="J132" s="113"/>
      <c r="L132" s="113"/>
      <c r="M132" s="113"/>
    </row>
    <row r="133" spans="1:20" outlineLevel="1" x14ac:dyDescent="0.25">
      <c r="B133" s="112" t="str">
        <f>C1&amp;" Levered Beta"</f>
        <v xml:space="preserve"> Levered Beta</v>
      </c>
      <c r="C133" s="127"/>
      <c r="D133" s="113"/>
      <c r="E133" s="113"/>
      <c r="F133" s="113"/>
      <c r="G133" s="113"/>
      <c r="H133" s="113"/>
      <c r="I133" s="127"/>
      <c r="J133" s="113"/>
      <c r="K133" s="130"/>
      <c r="L133" s="113"/>
      <c r="M133" s="113"/>
    </row>
    <row r="134" spans="1:20" outlineLevel="1" x14ac:dyDescent="0.25"/>
    <row r="135" spans="1:20" ht="14.4" x14ac:dyDescent="0.3">
      <c r="A135" s="1" t="s">
        <v>193</v>
      </c>
      <c r="B135" s="5" t="s">
        <v>250</v>
      </c>
      <c r="C135" s="4"/>
      <c r="D135" s="5"/>
      <c r="E135" s="5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</row>
  </sheetData>
  <scenarios current="2" sqref="I50 N50">
    <scenario name="Base case" locked="1" count="4" user="Classroom" comment="Created by Classroom on 3/19/2018_x000a_Modified by Classroom on 3/19/2018">
      <inputCells r="K28" val="0.07" numFmtId="165"/>
      <inputCells r="K29" val="0.615" numFmtId="165"/>
      <inputCells r="K30" val="0.057" numFmtId="165"/>
      <inputCells r="K31" val="0.04" numFmtId="165"/>
    </scenario>
    <scenario name="Best case" locked="1" count="4" user="Classroom" comment="Created by Classroom on 3/19/2018">
      <inputCells r="K28" val="0.09" numFmtId="165"/>
      <inputCells r="K29" val="0.61" numFmtId="165"/>
      <inputCells r="K30" val="0.055" numFmtId="165"/>
      <inputCells r="K31" val="0.037" numFmtId="165"/>
    </scenario>
    <scenario name="Worst case" locked="1" count="4" user="Classroom" comment="Created by Classroom on 3/19/2018">
      <inputCells r="K28" val="0.02" numFmtId="165"/>
      <inputCells r="K29" val="0.63" numFmtId="165"/>
      <inputCells r="K30" val="0.06" numFmtId="165"/>
      <inputCells r="K31" val="0.043" numFmtId="165"/>
    </scenario>
  </scenarios>
  <pageMargins left="0.7" right="0.7" top="0.75" bottom="0.75" header="0.3" footer="0.3"/>
  <pageSetup orientation="portrait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2F57-937C-4BE6-9A07-36B209F6ACD2}">
  <sheetPr codeName="Sheet2"/>
  <dimension ref="B3:P31"/>
  <sheetViews>
    <sheetView topLeftCell="A3" zoomScale="115" zoomScaleNormal="115" workbookViewId="0">
      <selection activeCell="G10" sqref="G10"/>
    </sheetView>
  </sheetViews>
  <sheetFormatPr defaultRowHeight="13.2" x14ac:dyDescent="0.25"/>
  <cols>
    <col min="1" max="1" width="3.33203125" style="76" customWidth="1"/>
    <col min="2" max="2" width="29.44140625" style="76" bestFit="1" customWidth="1"/>
    <col min="3" max="16384" width="8.88671875" style="76"/>
  </cols>
  <sheetData>
    <row r="3" spans="2:16" ht="13.8" x14ac:dyDescent="0.25">
      <c r="B3" s="72"/>
      <c r="C3" s="73">
        <v>2018</v>
      </c>
      <c r="D3" s="74">
        <f t="shared" ref="D3:F3" si="0">C3+1</f>
        <v>2019</v>
      </c>
      <c r="E3" s="74">
        <f t="shared" si="0"/>
        <v>2020</v>
      </c>
      <c r="F3" s="75">
        <f t="shared" si="0"/>
        <v>2021</v>
      </c>
      <c r="G3" s="74">
        <f t="shared" ref="G3:M3" si="1">F3+1</f>
        <v>2022</v>
      </c>
      <c r="H3" s="74">
        <f t="shared" si="1"/>
        <v>2023</v>
      </c>
      <c r="I3" s="74">
        <f t="shared" si="1"/>
        <v>2024</v>
      </c>
      <c r="J3" s="74">
        <f t="shared" si="1"/>
        <v>2025</v>
      </c>
      <c r="K3" s="74">
        <f t="shared" si="1"/>
        <v>2026</v>
      </c>
      <c r="L3" s="74">
        <f t="shared" si="1"/>
        <v>2027</v>
      </c>
      <c r="M3" s="74">
        <f t="shared" si="1"/>
        <v>2028</v>
      </c>
      <c r="N3" s="74">
        <f t="shared" ref="N3:P3" si="2">M3+1</f>
        <v>2029</v>
      </c>
      <c r="O3" s="74">
        <f t="shared" si="2"/>
        <v>2030</v>
      </c>
      <c r="P3" s="74">
        <f t="shared" si="2"/>
        <v>2031</v>
      </c>
    </row>
    <row r="4" spans="2:16" ht="13.8" x14ac:dyDescent="0.25">
      <c r="B4" s="77" t="s">
        <v>170</v>
      </c>
      <c r="C4" s="78">
        <v>775</v>
      </c>
      <c r="D4" s="78">
        <v>1440</v>
      </c>
      <c r="E4" s="78">
        <v>1800</v>
      </c>
      <c r="F4" s="79">
        <v>2100</v>
      </c>
      <c r="G4" s="80">
        <v>2350</v>
      </c>
      <c r="H4" s="78">
        <f t="shared" ref="H4:M4" si="3">G4*(1+H16)</f>
        <v>2585</v>
      </c>
      <c r="I4" s="78">
        <f t="shared" si="3"/>
        <v>2843.5000000000005</v>
      </c>
      <c r="J4" s="78">
        <f t="shared" si="3"/>
        <v>3070.9800000000005</v>
      </c>
      <c r="K4" s="78">
        <f t="shared" si="3"/>
        <v>3316.6584000000007</v>
      </c>
      <c r="L4" s="78">
        <f t="shared" si="3"/>
        <v>3581.9910720000012</v>
      </c>
      <c r="M4" s="78">
        <f t="shared" si="3"/>
        <v>3725.2707148800014</v>
      </c>
      <c r="N4" s="78">
        <f t="shared" ref="N4:P4" si="4">M4*(1+N16)</f>
        <v>3874.2815434752015</v>
      </c>
      <c r="O4" s="78">
        <f t="shared" si="4"/>
        <v>4029.2528052142097</v>
      </c>
      <c r="P4" s="78">
        <f t="shared" si="4"/>
        <v>4190.4229174227785</v>
      </c>
    </row>
    <row r="5" spans="2:16" ht="13.8" x14ac:dyDescent="0.25">
      <c r="B5" s="77" t="s">
        <v>171</v>
      </c>
      <c r="C5" s="78"/>
      <c r="D5" s="78">
        <f>D4-C4</f>
        <v>665</v>
      </c>
      <c r="E5" s="78">
        <f t="shared" ref="E5:P5" si="5">E4-D4</f>
        <v>360</v>
      </c>
      <c r="F5" s="79">
        <f t="shared" si="5"/>
        <v>300</v>
      </c>
      <c r="G5" s="78">
        <f t="shared" si="5"/>
        <v>250</v>
      </c>
      <c r="H5" s="78">
        <f t="shared" si="5"/>
        <v>235</v>
      </c>
      <c r="I5" s="78">
        <f t="shared" si="5"/>
        <v>258.50000000000045</v>
      </c>
      <c r="J5" s="78">
        <f t="shared" si="5"/>
        <v>227.48000000000002</v>
      </c>
      <c r="K5" s="78">
        <f t="shared" si="5"/>
        <v>245.67840000000024</v>
      </c>
      <c r="L5" s="78">
        <f t="shared" si="5"/>
        <v>265.33267200000046</v>
      </c>
      <c r="M5" s="78">
        <f t="shared" si="5"/>
        <v>143.27964288000021</v>
      </c>
      <c r="N5" s="78">
        <f t="shared" si="5"/>
        <v>149.01082859520011</v>
      </c>
      <c r="O5" s="78">
        <f t="shared" si="5"/>
        <v>154.97126173900824</v>
      </c>
      <c r="P5" s="78">
        <f t="shared" si="5"/>
        <v>161.17011220856875</v>
      </c>
    </row>
    <row r="6" spans="2:16" ht="13.8" x14ac:dyDescent="0.25">
      <c r="B6" s="77" t="s">
        <v>172</v>
      </c>
      <c r="C6" s="78">
        <v>4600</v>
      </c>
      <c r="D6" s="78">
        <v>8400</v>
      </c>
      <c r="E6" s="78">
        <v>10000</v>
      </c>
      <c r="F6" s="79">
        <v>13900</v>
      </c>
      <c r="G6" s="80">
        <v>17500</v>
      </c>
      <c r="H6" s="78">
        <f>G6*(1+H17)</f>
        <v>21875</v>
      </c>
      <c r="I6" s="78">
        <f t="shared" ref="I6:P6" si="6">H6*(1+I17)</f>
        <v>27343.75</v>
      </c>
      <c r="J6" s="78">
        <f t="shared" si="6"/>
        <v>34179.6875</v>
      </c>
      <c r="K6" s="78">
        <f t="shared" si="6"/>
        <v>41015.625</v>
      </c>
      <c r="L6" s="78">
        <f t="shared" si="6"/>
        <v>47167.968749999993</v>
      </c>
      <c r="M6" s="78">
        <f t="shared" si="6"/>
        <v>51884.765624999993</v>
      </c>
      <c r="N6" s="78">
        <f t="shared" si="6"/>
        <v>57073.2421875</v>
      </c>
      <c r="O6" s="78">
        <f t="shared" si="6"/>
        <v>61639.101562500007</v>
      </c>
      <c r="P6" s="78">
        <f t="shared" si="6"/>
        <v>66570.229687500017</v>
      </c>
    </row>
    <row r="7" spans="2:16" ht="13.8" x14ac:dyDescent="0.25">
      <c r="B7" s="77" t="s">
        <v>173</v>
      </c>
      <c r="C7" s="81">
        <f t="shared" ref="C7:F7" si="7">C6/C4</f>
        <v>5.935483870967742</v>
      </c>
      <c r="D7" s="81">
        <f t="shared" si="7"/>
        <v>5.833333333333333</v>
      </c>
      <c r="E7" s="81">
        <f t="shared" si="7"/>
        <v>5.5555555555555554</v>
      </c>
      <c r="F7" s="82">
        <f t="shared" si="7"/>
        <v>6.6190476190476186</v>
      </c>
      <c r="G7" s="81">
        <f t="shared" ref="G7:N7" si="8">G6/G4</f>
        <v>7.4468085106382977</v>
      </c>
      <c r="H7" s="81">
        <f t="shared" si="8"/>
        <v>8.4622823984526114</v>
      </c>
      <c r="I7" s="81">
        <f t="shared" si="8"/>
        <v>9.616229998241602</v>
      </c>
      <c r="J7" s="81">
        <f t="shared" si="8"/>
        <v>11.129895831298152</v>
      </c>
      <c r="K7" s="81">
        <f t="shared" si="8"/>
        <v>12.366550923664612</v>
      </c>
      <c r="L7" s="81">
        <f t="shared" si="8"/>
        <v>13.168086631679907</v>
      </c>
      <c r="M7" s="81">
        <f t="shared" si="8"/>
        <v>13.927783937353746</v>
      </c>
      <c r="N7" s="81">
        <f t="shared" si="8"/>
        <v>14.731309933739542</v>
      </c>
      <c r="O7" s="81">
        <f t="shared" ref="O7:P7" si="9">O6/O4</f>
        <v>15.29789877734491</v>
      </c>
      <c r="P7" s="81">
        <f t="shared" si="9"/>
        <v>15.886279499550485</v>
      </c>
    </row>
    <row r="8" spans="2:16" ht="13.8" x14ac:dyDescent="0.25">
      <c r="B8" s="77" t="s">
        <v>174</v>
      </c>
      <c r="C8" s="81"/>
      <c r="D8" s="81">
        <f t="shared" ref="D8:F8" si="10">D6/C4</f>
        <v>10.838709677419354</v>
      </c>
      <c r="E8" s="81">
        <f t="shared" si="10"/>
        <v>6.9444444444444446</v>
      </c>
      <c r="F8" s="82">
        <f t="shared" si="10"/>
        <v>7.7222222222222223</v>
      </c>
      <c r="G8" s="81">
        <f t="shared" ref="G8:M8" si="11">G6/F4</f>
        <v>8.3333333333333339</v>
      </c>
      <c r="H8" s="81">
        <f t="shared" si="11"/>
        <v>9.3085106382978715</v>
      </c>
      <c r="I8" s="81">
        <f t="shared" si="11"/>
        <v>10.577852998065763</v>
      </c>
      <c r="J8" s="81">
        <f t="shared" si="11"/>
        <v>12.020287497802002</v>
      </c>
      <c r="K8" s="81">
        <f t="shared" si="11"/>
        <v>13.35587499755778</v>
      </c>
      <c r="L8" s="81">
        <f t="shared" si="11"/>
        <v>14.221533562214301</v>
      </c>
      <c r="M8" s="81">
        <f t="shared" si="11"/>
        <v>14.484895294847897</v>
      </c>
      <c r="N8" s="81">
        <f t="shared" ref="N8:P8" si="12">N6/M4</f>
        <v>15.320562331089123</v>
      </c>
      <c r="O8" s="81">
        <f t="shared" si="12"/>
        <v>15.909814728438707</v>
      </c>
      <c r="P8" s="81">
        <f t="shared" si="12"/>
        <v>16.521730679532507</v>
      </c>
    </row>
    <row r="9" spans="2:16" ht="13.8" x14ac:dyDescent="0.25">
      <c r="B9" s="77" t="s">
        <v>175</v>
      </c>
      <c r="C9" s="78">
        <v>400</v>
      </c>
      <c r="D9" s="78">
        <v>640</v>
      </c>
      <c r="E9" s="78">
        <v>800</v>
      </c>
      <c r="F9" s="79">
        <v>975</v>
      </c>
      <c r="G9" s="77">
        <f>F9*(1+G20)</f>
        <v>1170</v>
      </c>
      <c r="H9" s="78"/>
      <c r="I9" s="78"/>
      <c r="J9" s="78"/>
      <c r="K9" s="78"/>
      <c r="L9" s="78"/>
      <c r="M9" s="78"/>
      <c r="N9" s="78"/>
      <c r="O9" s="78"/>
      <c r="P9" s="78"/>
    </row>
    <row r="10" spans="2:16" ht="13.8" x14ac:dyDescent="0.25">
      <c r="B10" s="77" t="s">
        <v>176</v>
      </c>
      <c r="C10" s="78"/>
      <c r="D10" s="78">
        <v>33</v>
      </c>
      <c r="E10" s="78">
        <v>40</v>
      </c>
      <c r="F10" s="79">
        <v>58</v>
      </c>
      <c r="G10" s="83">
        <v>70</v>
      </c>
      <c r="H10" s="78"/>
      <c r="I10" s="78"/>
      <c r="J10" s="78"/>
      <c r="K10" s="78"/>
      <c r="L10" s="78"/>
      <c r="M10" s="78"/>
      <c r="N10" s="78"/>
      <c r="O10" s="78"/>
      <c r="P10" s="78"/>
    </row>
    <row r="11" spans="2:16" ht="13.8" x14ac:dyDescent="0.25">
      <c r="B11" s="77" t="s">
        <v>177</v>
      </c>
      <c r="C11" s="78"/>
      <c r="D11" s="78">
        <f>D9/D10</f>
        <v>19.393939393939394</v>
      </c>
      <c r="E11" s="78">
        <f t="shared" ref="E11:G11" si="13">E9/E10</f>
        <v>20</v>
      </c>
      <c r="F11" s="79">
        <f t="shared" si="13"/>
        <v>16.810344827586206</v>
      </c>
      <c r="G11" s="78">
        <f t="shared" si="13"/>
        <v>16.714285714285715</v>
      </c>
      <c r="H11" s="78"/>
      <c r="I11" s="78"/>
      <c r="J11" s="78"/>
      <c r="K11" s="78"/>
      <c r="L11" s="78"/>
      <c r="M11" s="78"/>
      <c r="N11" s="78"/>
      <c r="O11" s="78"/>
      <c r="P11" s="78"/>
    </row>
    <row r="12" spans="2:16" ht="13.8" x14ac:dyDescent="0.25">
      <c r="B12" s="77" t="s">
        <v>64</v>
      </c>
      <c r="C12" s="78">
        <f>SILK_DCF!G9</f>
        <v>34557</v>
      </c>
      <c r="D12" s="78">
        <f>SILK_DCF!H9</f>
        <v>63354</v>
      </c>
      <c r="E12" s="78">
        <f>SILK_DCF!I9</f>
        <v>75227</v>
      </c>
      <c r="F12" s="79">
        <f>SILK_DCF!J9</f>
        <v>101475</v>
      </c>
      <c r="G12" s="78">
        <f>G13*G6</f>
        <v>131250</v>
      </c>
      <c r="H12" s="78">
        <f t="shared" ref="H12:P12" si="14">H13*H6</f>
        <v>164062.5</v>
      </c>
      <c r="I12" s="78">
        <f t="shared" si="14"/>
        <v>205078.125</v>
      </c>
      <c r="J12" s="78">
        <f t="shared" si="14"/>
        <v>256347.65625</v>
      </c>
      <c r="K12" s="78">
        <f t="shared" si="14"/>
        <v>307617.1875</v>
      </c>
      <c r="L12" s="78">
        <f t="shared" si="14"/>
        <v>353759.76562499994</v>
      </c>
      <c r="M12" s="78">
        <f t="shared" si="14"/>
        <v>389135.74218749994</v>
      </c>
      <c r="N12" s="78">
        <f t="shared" si="14"/>
        <v>428049.31640625</v>
      </c>
      <c r="O12" s="78">
        <f t="shared" si="14"/>
        <v>462293.26171875006</v>
      </c>
      <c r="P12" s="78">
        <f t="shared" si="14"/>
        <v>499276.72265625012</v>
      </c>
    </row>
    <row r="13" spans="2:16" ht="13.8" x14ac:dyDescent="0.25">
      <c r="B13" s="77" t="s">
        <v>178</v>
      </c>
      <c r="C13" s="81">
        <f>C12/C6</f>
        <v>7.5123913043478261</v>
      </c>
      <c r="D13" s="81">
        <f t="shared" ref="D13:F13" si="15">D12/D6</f>
        <v>7.5421428571428573</v>
      </c>
      <c r="E13" s="81">
        <f t="shared" si="15"/>
        <v>7.5227000000000004</v>
      </c>
      <c r="F13" s="82">
        <f t="shared" si="15"/>
        <v>7.3003597122302155</v>
      </c>
      <c r="G13" s="84">
        <v>7.5</v>
      </c>
      <c r="H13" s="84">
        <v>7.5</v>
      </c>
      <c r="I13" s="84">
        <v>7.5</v>
      </c>
      <c r="J13" s="84">
        <v>7.5</v>
      </c>
      <c r="K13" s="84">
        <v>7.5</v>
      </c>
      <c r="L13" s="84">
        <v>7.5</v>
      </c>
      <c r="M13" s="84">
        <v>7.5</v>
      </c>
      <c r="N13" s="84">
        <v>7.5</v>
      </c>
      <c r="O13" s="84">
        <v>7.5</v>
      </c>
      <c r="P13" s="84">
        <v>7.5</v>
      </c>
    </row>
    <row r="14" spans="2:16" ht="13.8" x14ac:dyDescent="0.25">
      <c r="B14" s="77" t="s">
        <v>179</v>
      </c>
      <c r="C14" s="81">
        <f t="shared" ref="C14:F14" si="16">C12/C4</f>
        <v>44.589677419354835</v>
      </c>
      <c r="D14" s="81">
        <f t="shared" si="16"/>
        <v>43.99583333333333</v>
      </c>
      <c r="E14" s="81">
        <f t="shared" si="16"/>
        <v>41.792777777777779</v>
      </c>
      <c r="F14" s="82">
        <f t="shared" si="16"/>
        <v>48.321428571428569</v>
      </c>
      <c r="G14" s="81">
        <f t="shared" ref="G14:M14" si="17">G12/G4</f>
        <v>55.851063829787236</v>
      </c>
      <c r="H14" s="81">
        <f t="shared" si="17"/>
        <v>63.467117988394584</v>
      </c>
      <c r="I14" s="81">
        <f t="shared" si="17"/>
        <v>72.121724986812012</v>
      </c>
      <c r="J14" s="81">
        <f t="shared" si="17"/>
        <v>83.474218734736127</v>
      </c>
      <c r="K14" s="81">
        <f t="shared" si="17"/>
        <v>92.749131927484584</v>
      </c>
      <c r="L14" s="81">
        <f t="shared" si="17"/>
        <v>98.760649737599294</v>
      </c>
      <c r="M14" s="81">
        <f t="shared" si="17"/>
        <v>104.4583795301531</v>
      </c>
      <c r="N14" s="81">
        <f t="shared" ref="N14:O14" si="18">N12/N4</f>
        <v>110.48482450304657</v>
      </c>
      <c r="O14" s="81">
        <f t="shared" si="18"/>
        <v>114.73424083008682</v>
      </c>
      <c r="P14" s="81">
        <f>P12/P4</f>
        <v>119.14709624662864</v>
      </c>
    </row>
    <row r="15" spans="2:16" ht="13.8" x14ac:dyDescent="0.25">
      <c r="B15" s="77"/>
      <c r="C15" s="77"/>
      <c r="D15" s="77"/>
      <c r="E15" s="77"/>
      <c r="F15" s="77"/>
      <c r="G15" s="77"/>
    </row>
    <row r="16" spans="2:16" ht="13.8" x14ac:dyDescent="0.25">
      <c r="B16" s="77" t="s">
        <v>180</v>
      </c>
      <c r="C16" s="77"/>
      <c r="D16" s="85">
        <f>D4/C4-1</f>
        <v>0.85806451612903234</v>
      </c>
      <c r="E16" s="85">
        <f>E4/D4-1</f>
        <v>0.25</v>
      </c>
      <c r="F16" s="85">
        <f>F4/E4-1</f>
        <v>0.16666666666666674</v>
      </c>
      <c r="G16" s="85">
        <f>G4/F4-1</f>
        <v>0.11904761904761907</v>
      </c>
      <c r="H16" s="86">
        <v>0.1</v>
      </c>
      <c r="I16" s="86">
        <v>0.1</v>
      </c>
      <c r="J16" s="86">
        <v>0.08</v>
      </c>
      <c r="K16" s="86">
        <v>0.08</v>
      </c>
      <c r="L16" s="86">
        <v>0.08</v>
      </c>
      <c r="M16" s="86">
        <v>0.04</v>
      </c>
      <c r="N16" s="86">
        <v>0.04</v>
      </c>
      <c r="O16" s="86">
        <v>0.04</v>
      </c>
      <c r="P16" s="86">
        <v>0.04</v>
      </c>
    </row>
    <row r="17" spans="2:16" ht="13.8" x14ac:dyDescent="0.25">
      <c r="B17" s="77" t="s">
        <v>181</v>
      </c>
      <c r="C17" s="77"/>
      <c r="D17" s="85">
        <f>D6/C6-1</f>
        <v>0.82608695652173902</v>
      </c>
      <c r="E17" s="85">
        <f t="shared" ref="E17:O21" si="19">E6/D6-1</f>
        <v>0.19047619047619047</v>
      </c>
      <c r="F17" s="85">
        <f t="shared" si="19"/>
        <v>0.3899999999999999</v>
      </c>
      <c r="G17" s="85">
        <f t="shared" si="19"/>
        <v>0.25899280575539563</v>
      </c>
      <c r="H17" s="86">
        <v>0.25</v>
      </c>
      <c r="I17" s="86">
        <v>0.25</v>
      </c>
      <c r="J17" s="86">
        <v>0.25</v>
      </c>
      <c r="K17" s="86">
        <v>0.2</v>
      </c>
      <c r="L17" s="86">
        <v>0.15</v>
      </c>
      <c r="M17" s="86">
        <v>0.1</v>
      </c>
      <c r="N17" s="86">
        <v>0.1</v>
      </c>
      <c r="O17" s="86">
        <v>0.08</v>
      </c>
      <c r="P17" s="86">
        <v>0.08</v>
      </c>
    </row>
    <row r="18" spans="2:16" ht="13.8" x14ac:dyDescent="0.25">
      <c r="B18" s="77" t="s">
        <v>182</v>
      </c>
      <c r="C18" s="77"/>
      <c r="D18" s="85">
        <f>D7/C7-1</f>
        <v>-1.7210144927536253E-2</v>
      </c>
      <c r="E18" s="85">
        <f t="shared" si="19"/>
        <v>-4.7619047619047561E-2</v>
      </c>
      <c r="F18" s="85">
        <f t="shared" si="19"/>
        <v>0.1914285714285715</v>
      </c>
      <c r="G18" s="85">
        <f t="shared" si="19"/>
        <v>0.12505740088780049</v>
      </c>
      <c r="H18" s="85">
        <f t="shared" si="19"/>
        <v>0.13636363636363646</v>
      </c>
      <c r="I18" s="85">
        <f t="shared" si="19"/>
        <v>0.13636363636363624</v>
      </c>
      <c r="J18" s="85">
        <f t="shared" si="19"/>
        <v>0.15740740740740744</v>
      </c>
      <c r="K18" s="85">
        <f t="shared" si="19"/>
        <v>0.11111111111111094</v>
      </c>
      <c r="L18" s="85">
        <f t="shared" si="19"/>
        <v>6.4814814814814659E-2</v>
      </c>
      <c r="M18" s="85">
        <f t="shared" si="19"/>
        <v>5.7692307692307487E-2</v>
      </c>
      <c r="N18" s="85">
        <f>N7/M7-1</f>
        <v>5.7692307692307931E-2</v>
      </c>
      <c r="O18" s="85">
        <f t="shared" ref="O18:P19" si="20">O7/N7-1</f>
        <v>3.8461538461538547E-2</v>
      </c>
      <c r="P18" s="85">
        <f t="shared" si="20"/>
        <v>3.8461538461538547E-2</v>
      </c>
    </row>
    <row r="19" spans="2:16" ht="13.8" x14ac:dyDescent="0.25">
      <c r="B19" s="77" t="s">
        <v>183</v>
      </c>
      <c r="C19" s="77"/>
      <c r="D19" s="85"/>
      <c r="E19" s="85">
        <f t="shared" si="19"/>
        <v>-0.35929232804232802</v>
      </c>
      <c r="F19" s="85">
        <f t="shared" si="19"/>
        <v>0.11199999999999988</v>
      </c>
      <c r="G19" s="85">
        <f t="shared" si="19"/>
        <v>7.9136690647481966E-2</v>
      </c>
      <c r="H19" s="85">
        <f t="shared" si="19"/>
        <v>0.11702127659574457</v>
      </c>
      <c r="I19" s="85">
        <f t="shared" si="19"/>
        <v>0.13636363636363646</v>
      </c>
      <c r="J19" s="85">
        <f t="shared" si="19"/>
        <v>0.13636363636363624</v>
      </c>
      <c r="K19" s="85">
        <f t="shared" si="19"/>
        <v>0.11111111111111116</v>
      </c>
      <c r="L19" s="85">
        <f t="shared" si="19"/>
        <v>6.4814814814814659E-2</v>
      </c>
      <c r="M19" s="85">
        <f t="shared" si="19"/>
        <v>1.8518518518518379E-2</v>
      </c>
      <c r="N19" s="85">
        <f t="shared" si="19"/>
        <v>5.7692307692307709E-2</v>
      </c>
      <c r="O19" s="85">
        <f t="shared" si="19"/>
        <v>3.8461538461538547E-2</v>
      </c>
      <c r="P19" s="85">
        <f t="shared" si="20"/>
        <v>3.8461538461538547E-2</v>
      </c>
    </row>
    <row r="20" spans="2:16" ht="13.8" x14ac:dyDescent="0.25">
      <c r="B20" s="77" t="s">
        <v>184</v>
      </c>
      <c r="C20" s="77"/>
      <c r="D20" s="85">
        <f>D9/C9-1</f>
        <v>0.60000000000000009</v>
      </c>
      <c r="E20" s="85">
        <f t="shared" si="19"/>
        <v>0.25</v>
      </c>
      <c r="F20" s="85">
        <f t="shared" si="19"/>
        <v>0.21875</v>
      </c>
      <c r="G20" s="86">
        <v>0.2</v>
      </c>
    </row>
    <row r="21" spans="2:16" ht="13.8" x14ac:dyDescent="0.25">
      <c r="B21" s="77" t="s">
        <v>185</v>
      </c>
      <c r="C21" s="77"/>
      <c r="D21" s="77"/>
      <c r="E21" s="85">
        <f t="shared" si="19"/>
        <v>0.21212121212121215</v>
      </c>
      <c r="F21" s="85">
        <f t="shared" si="19"/>
        <v>0.44999999999999996</v>
      </c>
      <c r="G21" s="85">
        <f t="shared" si="19"/>
        <v>0.2068965517241379</v>
      </c>
    </row>
    <row r="22" spans="2:16" ht="13.8" x14ac:dyDescent="0.25">
      <c r="B22" s="77"/>
      <c r="C22" s="77"/>
      <c r="D22" s="77"/>
      <c r="E22" s="77"/>
      <c r="F22" s="77"/>
      <c r="G22" s="77"/>
    </row>
    <row r="23" spans="2:16" ht="13.8" x14ac:dyDescent="0.25">
      <c r="B23" s="77" t="s">
        <v>186</v>
      </c>
      <c r="C23" s="87"/>
      <c r="D23" s="77"/>
      <c r="E23" s="77"/>
      <c r="F23" s="77"/>
      <c r="G23" s="77"/>
    </row>
    <row r="24" spans="2:16" ht="13.8" x14ac:dyDescent="0.25">
      <c r="B24" s="77" t="s">
        <v>187</v>
      </c>
      <c r="C24" s="87">
        <v>3503</v>
      </c>
      <c r="D24" s="77"/>
      <c r="E24" s="77"/>
      <c r="F24" s="77"/>
      <c r="G24" s="77"/>
    </row>
    <row r="25" spans="2:16" ht="13.8" x14ac:dyDescent="0.25">
      <c r="B25" s="77" t="s">
        <v>188</v>
      </c>
      <c r="C25" s="85">
        <f>F4/C24</f>
        <v>0.59948615472452182</v>
      </c>
      <c r="D25" s="77"/>
      <c r="E25" s="77"/>
      <c r="F25" s="77"/>
      <c r="G25" s="77"/>
    </row>
    <row r="26" spans="2:16" ht="13.8" x14ac:dyDescent="0.25">
      <c r="B26" s="77" t="s">
        <v>189</v>
      </c>
      <c r="C26" s="87">
        <v>170000</v>
      </c>
      <c r="D26" s="77"/>
      <c r="E26" s="77"/>
      <c r="F26" s="77"/>
      <c r="G26" s="77"/>
    </row>
    <row r="27" spans="2:16" ht="13.8" x14ac:dyDescent="0.25">
      <c r="B27" s="77" t="s">
        <v>251</v>
      </c>
      <c r="C27" s="85">
        <f>P6/C26</f>
        <v>0.39158958639705893</v>
      </c>
    </row>
    <row r="28" spans="2:16" ht="13.8" x14ac:dyDescent="0.25">
      <c r="B28" s="77" t="s">
        <v>190</v>
      </c>
      <c r="C28" s="76">
        <v>160</v>
      </c>
    </row>
    <row r="29" spans="2:16" ht="13.8" x14ac:dyDescent="0.25">
      <c r="B29" s="88"/>
    </row>
    <row r="30" spans="2:16" ht="13.8" x14ac:dyDescent="0.25">
      <c r="B30" s="88" t="s">
        <v>191</v>
      </c>
    </row>
    <row r="31" spans="2:16" ht="13.8" x14ac:dyDescent="0.25">
      <c r="B31" s="77" t="s">
        <v>192</v>
      </c>
    </row>
  </sheetData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004EA-4733-4D36-9F57-5CE7FD51AB35}">
  <sheetPr codeName="Sheet3"/>
  <dimension ref="A4:G39"/>
  <sheetViews>
    <sheetView workbookViewId="0">
      <selection activeCell="A38" sqref="A38"/>
    </sheetView>
  </sheetViews>
  <sheetFormatPr defaultRowHeight="13.2" x14ac:dyDescent="0.25"/>
  <cols>
    <col min="1" max="1" width="50" style="43" customWidth="1"/>
    <col min="2" max="196" width="12" style="43" customWidth="1"/>
    <col min="197" max="16384" width="8.88671875" style="43"/>
  </cols>
  <sheetData>
    <row r="4" spans="1:7" x14ac:dyDescent="0.25">
      <c r="A4" s="42" t="s">
        <v>45</v>
      </c>
    </row>
    <row r="5" spans="1:7" ht="21" x14ac:dyDescent="0.4">
      <c r="A5" s="44" t="s">
        <v>46</v>
      </c>
    </row>
    <row r="7" spans="1:7" x14ac:dyDescent="0.25">
      <c r="A7" s="45" t="s">
        <v>47</v>
      </c>
    </row>
    <row r="10" spans="1:7" x14ac:dyDescent="0.25">
      <c r="A10" s="46" t="s">
        <v>48</v>
      </c>
      <c r="B10" s="43">
        <f>YEAR(B11)</f>
        <v>2021</v>
      </c>
      <c r="C10" s="43">
        <f t="shared" ref="C10:F10" si="0">YEAR(C11)</f>
        <v>2020</v>
      </c>
      <c r="D10" s="43">
        <f t="shared" si="0"/>
        <v>2019</v>
      </c>
      <c r="E10" s="43">
        <f t="shared" si="0"/>
        <v>2018</v>
      </c>
      <c r="F10" s="43">
        <f t="shared" si="0"/>
        <v>2017</v>
      </c>
    </row>
    <row r="11" spans="1:7" x14ac:dyDescent="0.25">
      <c r="A11" s="47" t="s">
        <v>49</v>
      </c>
      <c r="B11" s="48" t="s">
        <v>50</v>
      </c>
      <c r="C11" s="48" t="s">
        <v>51</v>
      </c>
      <c r="D11" s="48" t="s">
        <v>52</v>
      </c>
      <c r="E11" s="48" t="s">
        <v>53</v>
      </c>
      <c r="F11" s="48" t="s">
        <v>54</v>
      </c>
      <c r="G11" s="47"/>
    </row>
    <row r="12" spans="1:7" x14ac:dyDescent="0.25">
      <c r="A12" s="47" t="s">
        <v>55</v>
      </c>
      <c r="B12" s="48" t="s">
        <v>56</v>
      </c>
      <c r="C12" s="48" t="s">
        <v>56</v>
      </c>
      <c r="D12" s="48" t="s">
        <v>56</v>
      </c>
      <c r="E12" s="48" t="s">
        <v>56</v>
      </c>
      <c r="F12" s="48" t="s">
        <v>56</v>
      </c>
      <c r="G12" s="47"/>
    </row>
    <row r="13" spans="1:7" ht="26.4" x14ac:dyDescent="0.25">
      <c r="A13" s="47" t="s">
        <v>57</v>
      </c>
      <c r="B13" s="48" t="s">
        <v>58</v>
      </c>
      <c r="C13" s="48" t="s">
        <v>58</v>
      </c>
      <c r="D13" s="48" t="s">
        <v>58</v>
      </c>
      <c r="E13" s="48" t="s">
        <v>58</v>
      </c>
      <c r="F13" s="48" t="s">
        <v>58</v>
      </c>
      <c r="G13" s="47"/>
    </row>
    <row r="14" spans="1:7" x14ac:dyDescent="0.25">
      <c r="A14" s="47" t="s">
        <v>59</v>
      </c>
      <c r="B14" s="48" t="s">
        <v>60</v>
      </c>
      <c r="C14" s="48" t="s">
        <v>60</v>
      </c>
      <c r="D14" s="48" t="s">
        <v>60</v>
      </c>
      <c r="E14" s="48" t="s">
        <v>61</v>
      </c>
      <c r="F14" s="48" t="s">
        <v>61</v>
      </c>
      <c r="G14" s="47"/>
    </row>
    <row r="15" spans="1:7" x14ac:dyDescent="0.25">
      <c r="A15" s="47" t="s">
        <v>62</v>
      </c>
      <c r="B15" s="48" t="s">
        <v>63</v>
      </c>
      <c r="C15" s="48" t="s">
        <v>63</v>
      </c>
      <c r="D15" s="48" t="s">
        <v>63</v>
      </c>
      <c r="E15" s="48" t="s">
        <v>63</v>
      </c>
      <c r="F15" s="48" t="s">
        <v>63</v>
      </c>
      <c r="G15" s="47"/>
    </row>
    <row r="16" spans="1:7" x14ac:dyDescent="0.25">
      <c r="A16" s="49" t="s">
        <v>64</v>
      </c>
      <c r="B16" s="50">
        <v>101475</v>
      </c>
      <c r="C16" s="50">
        <v>75227</v>
      </c>
      <c r="D16" s="50">
        <v>63354</v>
      </c>
      <c r="E16" s="50">
        <v>34557</v>
      </c>
      <c r="F16" s="50">
        <v>14258</v>
      </c>
      <c r="G16" s="49"/>
    </row>
    <row r="17" spans="1:7" x14ac:dyDescent="0.25">
      <c r="A17" s="49" t="s">
        <v>65</v>
      </c>
      <c r="B17" s="50">
        <v>25446</v>
      </c>
      <c r="C17" s="50">
        <v>21291</v>
      </c>
      <c r="D17" s="50">
        <v>15927</v>
      </c>
      <c r="E17" s="50">
        <v>10874</v>
      </c>
      <c r="F17" s="50">
        <v>5129</v>
      </c>
      <c r="G17" s="49"/>
    </row>
    <row r="18" spans="1:7" x14ac:dyDescent="0.25">
      <c r="A18" s="49" t="s">
        <v>66</v>
      </c>
      <c r="B18" s="50">
        <v>76029</v>
      </c>
      <c r="C18" s="50">
        <v>53936</v>
      </c>
      <c r="D18" s="50">
        <v>47427</v>
      </c>
      <c r="E18" s="50">
        <v>23683</v>
      </c>
      <c r="F18" s="50">
        <v>9129</v>
      </c>
      <c r="G18" s="49"/>
    </row>
    <row r="19" spans="1:7" x14ac:dyDescent="0.25">
      <c r="A19" s="49" t="s">
        <v>67</v>
      </c>
      <c r="B19" s="50">
        <v>27110</v>
      </c>
      <c r="C19" s="50">
        <v>21271</v>
      </c>
      <c r="D19" s="50">
        <v>12272</v>
      </c>
      <c r="E19" s="50">
        <v>10258</v>
      </c>
      <c r="F19" s="50">
        <v>7242</v>
      </c>
      <c r="G19" s="49"/>
    </row>
    <row r="20" spans="1:7" x14ac:dyDescent="0.25">
      <c r="A20" s="49" t="s">
        <v>68</v>
      </c>
      <c r="B20" s="50">
        <v>96387</v>
      </c>
      <c r="C20" s="50">
        <v>75524</v>
      </c>
      <c r="D20" s="50">
        <v>63220</v>
      </c>
      <c r="E20" s="50">
        <v>34820</v>
      </c>
      <c r="F20" s="50">
        <v>20261</v>
      </c>
      <c r="G20" s="49"/>
    </row>
    <row r="21" spans="1:7" x14ac:dyDescent="0.25">
      <c r="A21" s="49" t="s">
        <v>69</v>
      </c>
      <c r="B21" s="50">
        <v>123497</v>
      </c>
      <c r="C21" s="50">
        <v>96795</v>
      </c>
      <c r="D21" s="50">
        <v>75492</v>
      </c>
      <c r="E21" s="50">
        <v>45078</v>
      </c>
      <c r="F21" s="50">
        <v>27503</v>
      </c>
      <c r="G21" s="49"/>
    </row>
    <row r="22" spans="1:7" x14ac:dyDescent="0.25">
      <c r="A22" s="49" t="s">
        <v>70</v>
      </c>
      <c r="B22" s="50">
        <v>-47468</v>
      </c>
      <c r="C22" s="50">
        <v>-42859</v>
      </c>
      <c r="D22" s="50">
        <v>-28065</v>
      </c>
      <c r="E22" s="50">
        <v>-21395</v>
      </c>
      <c r="F22" s="50">
        <v>-18374</v>
      </c>
      <c r="G22" s="49"/>
    </row>
    <row r="23" spans="1:7" x14ac:dyDescent="0.25">
      <c r="A23" s="49" t="s">
        <v>71</v>
      </c>
      <c r="B23" s="50">
        <v>198</v>
      </c>
      <c r="C23" s="50">
        <v>1104</v>
      </c>
      <c r="D23" s="50">
        <v>1656</v>
      </c>
      <c r="E23" s="50">
        <v>189</v>
      </c>
      <c r="F23" s="50">
        <v>34</v>
      </c>
      <c r="G23" s="49"/>
    </row>
    <row r="24" spans="1:7" x14ac:dyDescent="0.25">
      <c r="A24" s="49" t="s">
        <v>72</v>
      </c>
      <c r="B24" s="50">
        <v>2518</v>
      </c>
      <c r="C24" s="50">
        <v>4411</v>
      </c>
      <c r="D24" s="50">
        <v>4952</v>
      </c>
      <c r="E24" s="50">
        <v>4361</v>
      </c>
      <c r="F24" s="50">
        <v>3943</v>
      </c>
      <c r="G24" s="49"/>
    </row>
    <row r="25" spans="1:7" x14ac:dyDescent="0.25">
      <c r="A25" s="49" t="s">
        <v>73</v>
      </c>
      <c r="B25" s="51" t="s">
        <v>74</v>
      </c>
      <c r="C25" s="50">
        <v>-1119</v>
      </c>
      <c r="D25" s="51" t="s">
        <v>74</v>
      </c>
      <c r="E25" s="51" t="s">
        <v>74</v>
      </c>
      <c r="F25" s="51" t="s">
        <v>74</v>
      </c>
      <c r="G25" s="49"/>
    </row>
    <row r="26" spans="1:7" x14ac:dyDescent="0.25">
      <c r="A26" s="49" t="s">
        <v>75</v>
      </c>
      <c r="B26" s="50">
        <v>-23</v>
      </c>
      <c r="C26" s="50">
        <v>-80</v>
      </c>
      <c r="D26" s="50">
        <v>-21054</v>
      </c>
      <c r="E26" s="50">
        <v>-12063</v>
      </c>
      <c r="F26" s="50">
        <v>2927</v>
      </c>
      <c r="G26" s="49"/>
    </row>
    <row r="27" spans="1:7" x14ac:dyDescent="0.25">
      <c r="A27" s="49" t="s">
        <v>76</v>
      </c>
      <c r="B27" s="50">
        <v>-49811</v>
      </c>
      <c r="C27" s="50">
        <v>-47365</v>
      </c>
      <c r="D27" s="50">
        <v>-52415</v>
      </c>
      <c r="E27" s="50">
        <v>-37630</v>
      </c>
      <c r="F27" s="50">
        <v>-19356</v>
      </c>
      <c r="G27" s="49"/>
    </row>
    <row r="28" spans="1:7" x14ac:dyDescent="0.25">
      <c r="A28" s="49" t="s">
        <v>77</v>
      </c>
      <c r="B28" s="51" t="s">
        <v>74</v>
      </c>
      <c r="C28" s="51" t="s">
        <v>74</v>
      </c>
      <c r="D28" s="51" t="s">
        <v>74</v>
      </c>
      <c r="E28" s="50">
        <v>1</v>
      </c>
      <c r="F28" s="51" t="s">
        <v>74</v>
      </c>
      <c r="G28" s="49"/>
    </row>
    <row r="29" spans="1:7" x14ac:dyDescent="0.25">
      <c r="A29" s="49" t="s">
        <v>78</v>
      </c>
      <c r="B29" s="51" t="s">
        <v>74</v>
      </c>
      <c r="C29" s="50">
        <v>-47365</v>
      </c>
      <c r="D29" s="50">
        <v>-52415</v>
      </c>
      <c r="E29" s="50">
        <v>-37629</v>
      </c>
      <c r="F29" s="50">
        <v>-19356</v>
      </c>
      <c r="G29" s="49"/>
    </row>
    <row r="30" spans="1:7" x14ac:dyDescent="0.25">
      <c r="A30" s="49" t="s">
        <v>79</v>
      </c>
      <c r="B30" s="52">
        <v>34635.358</v>
      </c>
      <c r="C30" s="52">
        <v>32965.538999999997</v>
      </c>
      <c r="D30" s="52">
        <v>22956.679</v>
      </c>
      <c r="E30" s="52">
        <v>960.88199999999995</v>
      </c>
      <c r="F30" s="52">
        <v>434.15800000000002</v>
      </c>
      <c r="G30" s="49"/>
    </row>
    <row r="31" spans="1:7" x14ac:dyDescent="0.25">
      <c r="A31" s="49" t="s">
        <v>80</v>
      </c>
      <c r="B31" s="52">
        <v>34635.358</v>
      </c>
      <c r="C31" s="52">
        <v>32965.538999999997</v>
      </c>
      <c r="D31" s="52">
        <v>22956.679</v>
      </c>
      <c r="E31" s="52">
        <v>960.88199999999995</v>
      </c>
      <c r="F31" s="52">
        <v>434.15800000000002</v>
      </c>
      <c r="G31" s="49"/>
    </row>
    <row r="32" spans="1:7" x14ac:dyDescent="0.25">
      <c r="A32" s="49" t="s">
        <v>81</v>
      </c>
      <c r="B32" s="52">
        <v>34980.896000000001</v>
      </c>
      <c r="C32" s="52">
        <v>34249.648999999998</v>
      </c>
      <c r="D32" s="52">
        <v>31255.267</v>
      </c>
      <c r="E32" s="53">
        <v>1135.31</v>
      </c>
      <c r="F32" s="53">
        <v>663.27</v>
      </c>
      <c r="G32" s="49"/>
    </row>
    <row r="33" spans="1:7" x14ac:dyDescent="0.25">
      <c r="A33" s="49" t="s">
        <v>82</v>
      </c>
      <c r="B33" s="53">
        <v>-1.44</v>
      </c>
      <c r="C33" s="53">
        <v>-1.44</v>
      </c>
      <c r="D33" s="53">
        <v>-2.2799999999999998</v>
      </c>
      <c r="E33" s="53">
        <v>-39.159999999999997</v>
      </c>
      <c r="F33" s="53">
        <v>-44.58</v>
      </c>
      <c r="G33" s="49"/>
    </row>
    <row r="34" spans="1:7" x14ac:dyDescent="0.25">
      <c r="A34" s="49" t="s">
        <v>83</v>
      </c>
      <c r="B34" s="53">
        <v>-1.44</v>
      </c>
      <c r="C34" s="53">
        <v>-1.44</v>
      </c>
      <c r="D34" s="53">
        <v>-2.2799999999999998</v>
      </c>
      <c r="E34" s="53">
        <v>-39.159999999999997</v>
      </c>
      <c r="F34" s="53">
        <v>-44.58</v>
      </c>
      <c r="G34" s="49"/>
    </row>
    <row r="35" spans="1:7" x14ac:dyDescent="0.25">
      <c r="A35" s="49" t="s">
        <v>84</v>
      </c>
      <c r="B35" s="50">
        <v>352</v>
      </c>
      <c r="C35" s="50">
        <v>281</v>
      </c>
      <c r="D35" s="50">
        <v>224</v>
      </c>
      <c r="E35" s="50">
        <v>176</v>
      </c>
      <c r="F35" s="51" t="s">
        <v>74</v>
      </c>
      <c r="G35" s="49"/>
    </row>
    <row r="36" spans="1:7" x14ac:dyDescent="0.25">
      <c r="A36" s="49" t="s">
        <v>85</v>
      </c>
      <c r="B36" s="50">
        <v>62</v>
      </c>
      <c r="C36" s="50">
        <v>72</v>
      </c>
      <c r="D36" s="50">
        <v>91</v>
      </c>
      <c r="E36" s="50">
        <v>67</v>
      </c>
      <c r="F36" s="51" t="s">
        <v>74</v>
      </c>
      <c r="G36" s="49"/>
    </row>
    <row r="38" spans="1:7" ht="13.8" x14ac:dyDescent="0.25">
      <c r="A38" s="1" t="s">
        <v>38</v>
      </c>
      <c r="B38" s="50">
        <f>SILK_CFS!B17</f>
        <v>1032</v>
      </c>
      <c r="C38" s="50">
        <f>SILK_CFS!C17</f>
        <v>789</v>
      </c>
      <c r="D38" s="50">
        <f>SILK_CFS!D17</f>
        <v>712</v>
      </c>
      <c r="E38" s="50">
        <f>SILK_CFS!E17</f>
        <v>517</v>
      </c>
      <c r="F38" s="50">
        <f>SILK_CFS!F17</f>
        <v>129</v>
      </c>
    </row>
    <row r="39" spans="1:7" ht="13.8" x14ac:dyDescent="0.25">
      <c r="A39" s="1" t="s">
        <v>37</v>
      </c>
      <c r="B39" s="50">
        <f>SILK_CFS!B37</f>
        <v>-4758</v>
      </c>
      <c r="C39" s="50">
        <f>SILK_CFS!C37</f>
        <v>-842</v>
      </c>
      <c r="D39" s="50">
        <f>SILK_CFS!D37</f>
        <v>-535</v>
      </c>
      <c r="E39" s="50">
        <f>SILK_CFS!E37</f>
        <v>-2276</v>
      </c>
      <c r="F39" s="50">
        <f>SILK_CFS!F37</f>
        <v>-443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B3FA0-06D0-4AFC-B865-2481C624DF1C}">
  <sheetPr codeName="Sheet4"/>
  <dimension ref="A4:G62"/>
  <sheetViews>
    <sheetView topLeftCell="A21" workbookViewId="0">
      <selection activeCell="B52" sqref="B52"/>
    </sheetView>
  </sheetViews>
  <sheetFormatPr defaultRowHeight="13.2" x14ac:dyDescent="0.25"/>
  <cols>
    <col min="1" max="1" width="30" style="43" customWidth="1"/>
    <col min="2" max="16384" width="8.88671875" style="43"/>
  </cols>
  <sheetData>
    <row r="4" spans="1:7" x14ac:dyDescent="0.25">
      <c r="A4" s="42" t="s">
        <v>45</v>
      </c>
    </row>
    <row r="5" spans="1:7" ht="21" x14ac:dyDescent="0.4">
      <c r="A5" s="44" t="s">
        <v>46</v>
      </c>
    </row>
    <row r="7" spans="1:7" ht="26.4" x14ac:dyDescent="0.25">
      <c r="A7" s="45" t="s">
        <v>47</v>
      </c>
    </row>
    <row r="10" spans="1:7" ht="26.4" x14ac:dyDescent="0.25">
      <c r="A10" s="46" t="s">
        <v>86</v>
      </c>
      <c r="B10" s="43">
        <f>YEAR(B11)</f>
        <v>2021</v>
      </c>
      <c r="C10" s="43">
        <f t="shared" ref="C10:F10" si="0">YEAR(C11)</f>
        <v>2020</v>
      </c>
      <c r="D10" s="43">
        <f t="shared" si="0"/>
        <v>2019</v>
      </c>
      <c r="E10" s="43">
        <f t="shared" si="0"/>
        <v>2018</v>
      </c>
      <c r="F10" s="43">
        <f t="shared" si="0"/>
        <v>2017</v>
      </c>
    </row>
    <row r="11" spans="1:7" ht="26.4" x14ac:dyDescent="0.25">
      <c r="A11" s="47" t="s">
        <v>49</v>
      </c>
      <c r="B11" s="48" t="s">
        <v>50</v>
      </c>
      <c r="C11" s="48" t="s">
        <v>51</v>
      </c>
      <c r="D11" s="48" t="s">
        <v>52</v>
      </c>
      <c r="E11" s="48" t="s">
        <v>53</v>
      </c>
      <c r="F11" s="48" t="s">
        <v>54</v>
      </c>
      <c r="G11" s="47"/>
    </row>
    <row r="12" spans="1:7" x14ac:dyDescent="0.25">
      <c r="A12" s="47" t="s">
        <v>55</v>
      </c>
      <c r="B12" s="48" t="s">
        <v>56</v>
      </c>
      <c r="C12" s="48" t="s">
        <v>56</v>
      </c>
      <c r="D12" s="48" t="s">
        <v>56</v>
      </c>
      <c r="E12" s="48" t="s">
        <v>56</v>
      </c>
      <c r="F12" s="48" t="s">
        <v>56</v>
      </c>
      <c r="G12" s="47"/>
    </row>
    <row r="13" spans="1:7" ht="26.4" x14ac:dyDescent="0.25">
      <c r="A13" s="47" t="s">
        <v>57</v>
      </c>
      <c r="B13" s="48" t="s">
        <v>58</v>
      </c>
      <c r="C13" s="48" t="s">
        <v>58</v>
      </c>
      <c r="D13" s="48" t="s">
        <v>58</v>
      </c>
      <c r="E13" s="48" t="s">
        <v>58</v>
      </c>
      <c r="F13" s="48" t="s">
        <v>58</v>
      </c>
      <c r="G13" s="47"/>
    </row>
    <row r="14" spans="1:7" x14ac:dyDescent="0.25">
      <c r="A14" s="47" t="s">
        <v>59</v>
      </c>
      <c r="B14" s="48" t="s">
        <v>60</v>
      </c>
      <c r="C14" s="48" t="s">
        <v>60</v>
      </c>
      <c r="D14" s="48" t="s">
        <v>60</v>
      </c>
      <c r="E14" s="48" t="s">
        <v>61</v>
      </c>
      <c r="F14" s="48" t="s">
        <v>61</v>
      </c>
      <c r="G14" s="47"/>
    </row>
    <row r="15" spans="1:7" ht="26.4" x14ac:dyDescent="0.25">
      <c r="A15" s="47" t="s">
        <v>62</v>
      </c>
      <c r="B15" s="48" t="s">
        <v>63</v>
      </c>
      <c r="C15" s="48" t="s">
        <v>63</v>
      </c>
      <c r="D15" s="48" t="s">
        <v>63</v>
      </c>
      <c r="E15" s="48" t="s">
        <v>63</v>
      </c>
      <c r="F15" s="48" t="s">
        <v>63</v>
      </c>
      <c r="G15" s="47"/>
    </row>
    <row r="16" spans="1:7" x14ac:dyDescent="0.25">
      <c r="A16" s="49" t="s">
        <v>13</v>
      </c>
      <c r="B16" s="50">
        <v>110231</v>
      </c>
      <c r="C16" s="50">
        <v>69466</v>
      </c>
      <c r="D16" s="50">
        <v>39181</v>
      </c>
      <c r="E16" s="50">
        <v>24990</v>
      </c>
      <c r="F16" s="50">
        <v>33331</v>
      </c>
      <c r="G16" s="49"/>
    </row>
    <row r="17" spans="1:7" x14ac:dyDescent="0.25">
      <c r="A17" s="49" t="s">
        <v>12</v>
      </c>
      <c r="B17" s="51"/>
      <c r="C17" s="50">
        <v>78016</v>
      </c>
      <c r="D17" s="50">
        <v>51508</v>
      </c>
      <c r="E17" s="51"/>
      <c r="F17" s="51"/>
      <c r="G17" s="49"/>
    </row>
    <row r="18" spans="1:7" x14ac:dyDescent="0.25">
      <c r="A18" s="49" t="s">
        <v>87</v>
      </c>
      <c r="B18" s="50">
        <v>11838</v>
      </c>
      <c r="C18" s="50">
        <v>9083</v>
      </c>
      <c r="D18" s="50">
        <v>8646</v>
      </c>
      <c r="E18" s="50">
        <v>6405</v>
      </c>
      <c r="F18" s="50">
        <v>5826</v>
      </c>
      <c r="G18" s="49"/>
    </row>
    <row r="19" spans="1:7" x14ac:dyDescent="0.25">
      <c r="A19" s="49" t="s">
        <v>88</v>
      </c>
      <c r="B19" s="50">
        <v>6</v>
      </c>
      <c r="C19" s="50">
        <v>13</v>
      </c>
      <c r="D19" s="50">
        <v>45</v>
      </c>
      <c r="E19" s="50">
        <v>1885</v>
      </c>
      <c r="F19" s="50">
        <v>611</v>
      </c>
      <c r="G19" s="49"/>
    </row>
    <row r="20" spans="1:7" x14ac:dyDescent="0.25">
      <c r="A20" s="49" t="s">
        <v>89</v>
      </c>
      <c r="B20" s="50">
        <v>11832</v>
      </c>
      <c r="C20" s="50">
        <v>9070</v>
      </c>
      <c r="D20" s="50">
        <v>8601</v>
      </c>
      <c r="E20" s="50">
        <v>4520</v>
      </c>
      <c r="F20" s="50">
        <v>5215</v>
      </c>
      <c r="G20" s="49"/>
    </row>
    <row r="21" spans="1:7" x14ac:dyDescent="0.25">
      <c r="A21" s="49" t="s">
        <v>90</v>
      </c>
      <c r="B21" s="50">
        <v>2447</v>
      </c>
      <c r="C21" s="50">
        <v>1785</v>
      </c>
      <c r="D21" s="50">
        <v>1203</v>
      </c>
      <c r="E21" s="50">
        <v>1054</v>
      </c>
      <c r="F21" s="50">
        <v>506</v>
      </c>
      <c r="G21" s="49"/>
    </row>
    <row r="22" spans="1:7" x14ac:dyDescent="0.25">
      <c r="A22" s="49" t="s">
        <v>91</v>
      </c>
      <c r="B22" s="50">
        <v>15437</v>
      </c>
      <c r="C22" s="50">
        <v>10599</v>
      </c>
      <c r="D22" s="50">
        <v>9119</v>
      </c>
      <c r="E22" s="50">
        <v>4690</v>
      </c>
      <c r="F22" s="50">
        <v>2742</v>
      </c>
      <c r="G22" s="49"/>
    </row>
    <row r="23" spans="1:7" x14ac:dyDescent="0.25">
      <c r="A23" s="49" t="s">
        <v>92</v>
      </c>
      <c r="B23" s="50">
        <v>33</v>
      </c>
      <c r="C23" s="50">
        <v>2395</v>
      </c>
      <c r="D23" s="51" t="s">
        <v>74</v>
      </c>
      <c r="E23" s="51" t="s">
        <v>74</v>
      </c>
      <c r="F23" s="51" t="s">
        <v>74</v>
      </c>
      <c r="G23" s="49"/>
    </row>
    <row r="24" spans="1:7" x14ac:dyDescent="0.25">
      <c r="A24" s="49" t="s">
        <v>93</v>
      </c>
      <c r="B24" s="50">
        <v>17851</v>
      </c>
      <c r="C24" s="50">
        <v>9989</v>
      </c>
      <c r="D24" s="50">
        <v>10322</v>
      </c>
      <c r="E24" s="50">
        <v>5744</v>
      </c>
      <c r="F24" s="50">
        <v>3248</v>
      </c>
      <c r="G24" s="49"/>
    </row>
    <row r="25" spans="1:7" x14ac:dyDescent="0.25">
      <c r="A25" s="49" t="s">
        <v>94</v>
      </c>
      <c r="B25" s="50">
        <v>3412</v>
      </c>
      <c r="C25" s="50">
        <v>6787</v>
      </c>
      <c r="D25" s="50">
        <v>2878</v>
      </c>
      <c r="E25" s="50">
        <v>1408</v>
      </c>
      <c r="F25" s="50">
        <v>279</v>
      </c>
      <c r="G25" s="49"/>
    </row>
    <row r="26" spans="1:7" x14ac:dyDescent="0.25">
      <c r="A26" s="49" t="s">
        <v>14</v>
      </c>
      <c r="B26" s="50">
        <v>143326</v>
      </c>
      <c r="C26" s="50">
        <v>173328</v>
      </c>
      <c r="D26" s="50">
        <v>112490</v>
      </c>
      <c r="E26" s="50">
        <v>36662</v>
      </c>
      <c r="F26" s="50">
        <v>42073</v>
      </c>
      <c r="G26" s="49"/>
    </row>
    <row r="27" spans="1:7" x14ac:dyDescent="0.25">
      <c r="A27" s="49" t="s">
        <v>95</v>
      </c>
      <c r="B27" s="51" t="s">
        <v>74</v>
      </c>
      <c r="C27" s="51" t="s">
        <v>74</v>
      </c>
      <c r="D27" s="50">
        <v>18224</v>
      </c>
      <c r="E27" s="51" t="s">
        <v>74</v>
      </c>
      <c r="F27" s="51" t="s">
        <v>74</v>
      </c>
      <c r="G27" s="49"/>
    </row>
    <row r="28" spans="1:7" x14ac:dyDescent="0.25">
      <c r="A28" s="49" t="s">
        <v>96</v>
      </c>
      <c r="B28" s="50">
        <v>1005</v>
      </c>
      <c r="C28" s="50">
        <v>726</v>
      </c>
      <c r="D28" s="50">
        <v>657</v>
      </c>
      <c r="E28" s="50">
        <v>517</v>
      </c>
      <c r="F28" s="50">
        <v>76</v>
      </c>
      <c r="G28" s="49"/>
    </row>
    <row r="29" spans="1:7" x14ac:dyDescent="0.25">
      <c r="A29" s="49" t="s">
        <v>97</v>
      </c>
      <c r="B29" s="50">
        <v>2945</v>
      </c>
      <c r="C29" s="50">
        <v>1699</v>
      </c>
      <c r="D29" s="50">
        <v>1295</v>
      </c>
      <c r="E29" s="50">
        <v>1217</v>
      </c>
      <c r="F29" s="50">
        <v>1059</v>
      </c>
      <c r="G29" s="49"/>
    </row>
    <row r="30" spans="1:7" x14ac:dyDescent="0.25">
      <c r="A30" s="49" t="s">
        <v>98</v>
      </c>
      <c r="B30" s="50">
        <v>284</v>
      </c>
      <c r="C30" s="50">
        <v>226</v>
      </c>
      <c r="D30" s="50">
        <v>18</v>
      </c>
      <c r="E30" s="50">
        <v>76</v>
      </c>
      <c r="F30" s="50">
        <v>405</v>
      </c>
      <c r="G30" s="49"/>
    </row>
    <row r="31" spans="1:7" x14ac:dyDescent="0.25">
      <c r="A31" s="49" t="s">
        <v>99</v>
      </c>
      <c r="B31" s="50">
        <v>2050</v>
      </c>
      <c r="C31" s="50">
        <v>2043</v>
      </c>
      <c r="D31" s="50">
        <v>1991</v>
      </c>
      <c r="E31" s="50">
        <v>1978</v>
      </c>
      <c r="F31" s="50">
        <v>189</v>
      </c>
      <c r="G31" s="49"/>
    </row>
    <row r="32" spans="1:7" x14ac:dyDescent="0.25">
      <c r="A32" s="49" t="s">
        <v>100</v>
      </c>
      <c r="B32" s="50">
        <v>6284</v>
      </c>
      <c r="C32" s="50">
        <v>4694</v>
      </c>
      <c r="D32" s="50">
        <v>3961</v>
      </c>
      <c r="E32" s="50">
        <v>3788</v>
      </c>
      <c r="F32" s="50">
        <v>1729</v>
      </c>
      <c r="G32" s="49"/>
    </row>
    <row r="33" spans="1:7" x14ac:dyDescent="0.25">
      <c r="A33" s="49" t="s">
        <v>101</v>
      </c>
      <c r="B33" s="50">
        <v>3330</v>
      </c>
      <c r="C33" s="50">
        <v>2332</v>
      </c>
      <c r="D33" s="50">
        <v>1550</v>
      </c>
      <c r="E33" s="50">
        <v>946</v>
      </c>
      <c r="F33" s="50">
        <v>1303</v>
      </c>
      <c r="G33" s="49"/>
    </row>
    <row r="34" spans="1:7" x14ac:dyDescent="0.25">
      <c r="A34" s="49" t="s">
        <v>102</v>
      </c>
      <c r="B34" s="50">
        <v>4743</v>
      </c>
      <c r="C34" s="50">
        <v>482</v>
      </c>
      <c r="D34" s="50">
        <v>323</v>
      </c>
      <c r="E34" s="50">
        <v>38</v>
      </c>
      <c r="F34" s="50">
        <v>60</v>
      </c>
      <c r="G34" s="49"/>
    </row>
    <row r="35" spans="1:7" x14ac:dyDescent="0.25">
      <c r="A35" s="49" t="s">
        <v>103</v>
      </c>
      <c r="B35" s="50">
        <v>7697</v>
      </c>
      <c r="C35" s="50">
        <v>2844</v>
      </c>
      <c r="D35" s="50">
        <v>2734</v>
      </c>
      <c r="E35" s="50">
        <v>2880</v>
      </c>
      <c r="F35" s="50">
        <v>486</v>
      </c>
      <c r="G35" s="49"/>
    </row>
    <row r="36" spans="1:7" x14ac:dyDescent="0.25">
      <c r="A36" s="49" t="s">
        <v>104</v>
      </c>
      <c r="B36" s="50">
        <v>232</v>
      </c>
      <c r="C36" s="50">
        <v>310</v>
      </c>
      <c r="D36" s="50">
        <v>310</v>
      </c>
      <c r="E36" s="50">
        <v>310</v>
      </c>
      <c r="F36" s="50">
        <v>510</v>
      </c>
      <c r="G36" s="49"/>
    </row>
    <row r="37" spans="1:7" x14ac:dyDescent="0.25">
      <c r="A37" s="49" t="s">
        <v>105</v>
      </c>
      <c r="B37" s="50">
        <v>5370</v>
      </c>
      <c r="C37" s="50">
        <v>2832</v>
      </c>
      <c r="D37" s="50">
        <v>3644</v>
      </c>
      <c r="E37" s="50">
        <v>1029</v>
      </c>
      <c r="F37" s="50">
        <v>17</v>
      </c>
      <c r="G37" s="49"/>
    </row>
    <row r="38" spans="1:7" x14ac:dyDescent="0.25">
      <c r="A38" s="49" t="s">
        <v>106</v>
      </c>
      <c r="B38" s="50">
        <v>156625</v>
      </c>
      <c r="C38" s="50">
        <v>179314</v>
      </c>
      <c r="D38" s="50">
        <v>137402</v>
      </c>
      <c r="E38" s="50">
        <v>40881</v>
      </c>
      <c r="F38" s="50">
        <v>43086</v>
      </c>
      <c r="G38" s="49"/>
    </row>
    <row r="39" spans="1:7" x14ac:dyDescent="0.25">
      <c r="A39" s="49" t="s">
        <v>107</v>
      </c>
      <c r="B39" s="50">
        <v>2379</v>
      </c>
      <c r="C39" s="50">
        <v>2598</v>
      </c>
      <c r="D39" s="50">
        <v>1898</v>
      </c>
      <c r="E39" s="50">
        <v>1252</v>
      </c>
      <c r="F39" s="50">
        <v>1546</v>
      </c>
      <c r="G39" s="49"/>
    </row>
    <row r="40" spans="1:7" x14ac:dyDescent="0.25">
      <c r="A40" s="49" t="s">
        <v>108</v>
      </c>
      <c r="B40" s="50">
        <v>13898</v>
      </c>
      <c r="C40" s="50">
        <v>9573</v>
      </c>
      <c r="D40" s="50">
        <v>9151</v>
      </c>
      <c r="E40" s="50">
        <v>5157</v>
      </c>
      <c r="F40" s="50">
        <v>2718</v>
      </c>
      <c r="G40" s="49"/>
    </row>
    <row r="41" spans="1:7" x14ac:dyDescent="0.25">
      <c r="A41" s="49" t="s">
        <v>109</v>
      </c>
      <c r="B41" s="50">
        <v>359</v>
      </c>
      <c r="C41" s="50">
        <v>820</v>
      </c>
      <c r="D41" s="50">
        <v>2419</v>
      </c>
      <c r="E41" s="51" t="s">
        <v>74</v>
      </c>
      <c r="F41" s="51" t="s">
        <v>74</v>
      </c>
      <c r="G41" s="49"/>
    </row>
    <row r="42" spans="1:7" x14ac:dyDescent="0.25">
      <c r="A42" s="49" t="s">
        <v>110</v>
      </c>
      <c r="B42" s="50">
        <v>2039</v>
      </c>
      <c r="C42" s="50">
        <v>2520</v>
      </c>
      <c r="D42" s="50">
        <v>682</v>
      </c>
      <c r="E42" s="50">
        <v>1014</v>
      </c>
      <c r="F42" s="50">
        <v>64</v>
      </c>
      <c r="G42" s="49"/>
    </row>
    <row r="43" spans="1:7" x14ac:dyDescent="0.25">
      <c r="A43" s="49" t="s">
        <v>111</v>
      </c>
      <c r="B43" s="50">
        <v>11</v>
      </c>
      <c r="C43" s="50">
        <v>1696</v>
      </c>
      <c r="D43" s="51" t="s">
        <v>74</v>
      </c>
      <c r="E43" s="51" t="s">
        <v>74</v>
      </c>
      <c r="F43" s="51" t="s">
        <v>74</v>
      </c>
      <c r="G43" s="49"/>
    </row>
    <row r="44" spans="1:7" x14ac:dyDescent="0.25">
      <c r="A44" s="49" t="s">
        <v>112</v>
      </c>
      <c r="B44" s="50">
        <v>1294</v>
      </c>
      <c r="C44" s="50">
        <v>850</v>
      </c>
      <c r="D44" s="50">
        <v>769</v>
      </c>
      <c r="E44" s="51"/>
      <c r="F44" s="51"/>
      <c r="G44" s="49"/>
    </row>
    <row r="45" spans="1:7" x14ac:dyDescent="0.25">
      <c r="A45" s="49" t="s">
        <v>113</v>
      </c>
      <c r="B45" s="50">
        <v>687</v>
      </c>
      <c r="C45" s="50">
        <v>518</v>
      </c>
      <c r="D45" s="50">
        <v>470</v>
      </c>
      <c r="E45" s="50">
        <v>313</v>
      </c>
      <c r="F45" s="51" t="s">
        <v>74</v>
      </c>
      <c r="G45" s="49"/>
    </row>
    <row r="46" spans="1:7" x14ac:dyDescent="0.25">
      <c r="A46" s="49" t="s">
        <v>114</v>
      </c>
      <c r="B46" s="50">
        <v>157</v>
      </c>
      <c r="C46" s="50">
        <v>206</v>
      </c>
      <c r="D46" s="50">
        <v>304</v>
      </c>
      <c r="E46" s="51" t="s">
        <v>74</v>
      </c>
      <c r="F46" s="51" t="s">
        <v>74</v>
      </c>
      <c r="G46" s="49"/>
    </row>
    <row r="47" spans="1:7" x14ac:dyDescent="0.25">
      <c r="A47" s="49" t="s">
        <v>115</v>
      </c>
      <c r="B47" s="50">
        <v>590</v>
      </c>
      <c r="C47" s="50">
        <v>237</v>
      </c>
      <c r="D47" s="50">
        <v>431</v>
      </c>
      <c r="E47" s="50">
        <v>270</v>
      </c>
      <c r="F47" s="50">
        <v>68</v>
      </c>
      <c r="G47" s="49"/>
    </row>
    <row r="48" spans="1:7" x14ac:dyDescent="0.25">
      <c r="A48" s="49" t="s">
        <v>116</v>
      </c>
      <c r="B48" s="50">
        <v>99</v>
      </c>
      <c r="C48" s="50">
        <v>113</v>
      </c>
      <c r="D48" s="50">
        <v>241</v>
      </c>
      <c r="E48" s="50">
        <v>244</v>
      </c>
      <c r="F48" s="50">
        <v>183</v>
      </c>
      <c r="G48" s="49"/>
    </row>
    <row r="49" spans="1:7" x14ac:dyDescent="0.25">
      <c r="A49" s="49" t="s">
        <v>117</v>
      </c>
      <c r="B49" s="50">
        <v>668</v>
      </c>
      <c r="C49" s="50">
        <v>424</v>
      </c>
      <c r="D49" s="50">
        <v>567</v>
      </c>
      <c r="E49" s="50">
        <v>588</v>
      </c>
      <c r="F49" s="50">
        <v>76</v>
      </c>
      <c r="G49" s="49"/>
    </row>
    <row r="50" spans="1:7" x14ac:dyDescent="0.25">
      <c r="A50" s="49" t="s">
        <v>118</v>
      </c>
      <c r="B50" s="50">
        <v>19802</v>
      </c>
      <c r="C50" s="50">
        <v>16957</v>
      </c>
      <c r="D50" s="50">
        <v>15034</v>
      </c>
      <c r="E50" s="50">
        <v>7586</v>
      </c>
      <c r="F50" s="50">
        <v>3109</v>
      </c>
      <c r="G50" s="49"/>
    </row>
    <row r="51" spans="1:7" x14ac:dyDescent="0.25">
      <c r="A51" s="49" t="s">
        <v>119</v>
      </c>
      <c r="B51" s="50">
        <v>3905</v>
      </c>
      <c r="C51" s="51" t="s">
        <v>74</v>
      </c>
      <c r="D51" s="51" t="s">
        <v>74</v>
      </c>
      <c r="E51" s="51" t="s">
        <v>74</v>
      </c>
      <c r="F51" s="51" t="s">
        <v>74</v>
      </c>
      <c r="G51" s="49"/>
    </row>
    <row r="52" spans="1:7" x14ac:dyDescent="0.25">
      <c r="A52" s="49" t="s">
        <v>10</v>
      </c>
      <c r="B52" s="50">
        <v>26086</v>
      </c>
      <c r="C52" s="50">
        <v>19555</v>
      </c>
      <c r="D52" s="50">
        <v>16932</v>
      </c>
      <c r="E52" s="50">
        <v>8838</v>
      </c>
      <c r="F52" s="50">
        <v>4655</v>
      </c>
      <c r="G52" s="49"/>
    </row>
    <row r="53" spans="1:7" x14ac:dyDescent="0.25">
      <c r="A53" s="49" t="s">
        <v>120</v>
      </c>
      <c r="B53" s="50">
        <v>44786</v>
      </c>
      <c r="C53" s="50">
        <v>48533</v>
      </c>
      <c r="D53" s="50">
        <v>44879</v>
      </c>
      <c r="E53" s="50">
        <v>44201</v>
      </c>
      <c r="F53" s="50">
        <v>27589</v>
      </c>
      <c r="G53" s="49"/>
    </row>
    <row r="54" spans="1:7" x14ac:dyDescent="0.25">
      <c r="A54" s="49" t="s">
        <v>121</v>
      </c>
      <c r="B54" s="51" t="s">
        <v>74</v>
      </c>
      <c r="C54" s="51" t="s">
        <v>74</v>
      </c>
      <c r="D54" s="51" t="s">
        <v>74</v>
      </c>
      <c r="E54" s="50">
        <v>16091</v>
      </c>
      <c r="F54" s="50">
        <v>4185</v>
      </c>
      <c r="G54" s="49"/>
    </row>
    <row r="55" spans="1:7" x14ac:dyDescent="0.25">
      <c r="A55" s="49" t="s">
        <v>122</v>
      </c>
      <c r="B55" s="50">
        <v>6513</v>
      </c>
      <c r="C55" s="50">
        <v>3726</v>
      </c>
      <c r="D55" s="50">
        <v>3700</v>
      </c>
      <c r="E55" s="50">
        <v>1069</v>
      </c>
      <c r="F55" s="51" t="s">
        <v>74</v>
      </c>
      <c r="G55" s="49"/>
    </row>
    <row r="56" spans="1:7" x14ac:dyDescent="0.25">
      <c r="A56" s="49" t="s">
        <v>123</v>
      </c>
      <c r="B56" s="50">
        <v>77385</v>
      </c>
      <c r="C56" s="50">
        <v>71814</v>
      </c>
      <c r="D56" s="50">
        <v>65511</v>
      </c>
      <c r="E56" s="50">
        <v>70199</v>
      </c>
      <c r="F56" s="50">
        <v>36429</v>
      </c>
      <c r="G56" s="49"/>
    </row>
    <row r="57" spans="1:7" x14ac:dyDescent="0.25">
      <c r="A57" s="49" t="s">
        <v>124</v>
      </c>
      <c r="B57" s="51" t="s">
        <v>74</v>
      </c>
      <c r="C57" s="51" t="s">
        <v>74</v>
      </c>
      <c r="D57" s="51" t="s">
        <v>74</v>
      </c>
      <c r="E57" s="50">
        <v>105235</v>
      </c>
      <c r="F57" s="50">
        <v>105235</v>
      </c>
      <c r="G57" s="49"/>
    </row>
    <row r="58" spans="1:7" x14ac:dyDescent="0.25">
      <c r="A58" s="49" t="s">
        <v>125</v>
      </c>
      <c r="B58" s="50">
        <v>35</v>
      </c>
      <c r="C58" s="50">
        <v>34</v>
      </c>
      <c r="D58" s="50">
        <v>31</v>
      </c>
      <c r="E58" s="50">
        <v>1</v>
      </c>
      <c r="F58" s="50">
        <v>1</v>
      </c>
      <c r="G58" s="49"/>
    </row>
    <row r="59" spans="1:7" x14ac:dyDescent="0.25">
      <c r="A59" s="49" t="s">
        <v>126</v>
      </c>
      <c r="B59" s="50">
        <v>367907</v>
      </c>
      <c r="C59" s="50">
        <v>346318</v>
      </c>
      <c r="D59" s="50">
        <v>263384</v>
      </c>
      <c r="E59" s="50">
        <v>4557</v>
      </c>
      <c r="F59" s="50">
        <v>2977</v>
      </c>
      <c r="G59" s="49"/>
    </row>
    <row r="60" spans="1:7" x14ac:dyDescent="0.25">
      <c r="A60" s="49" t="s">
        <v>127</v>
      </c>
      <c r="B60" s="51" t="s">
        <v>74</v>
      </c>
      <c r="C60" s="50">
        <v>39</v>
      </c>
      <c r="D60" s="50">
        <v>2</v>
      </c>
      <c r="E60" s="51" t="s">
        <v>74</v>
      </c>
      <c r="F60" s="51" t="s">
        <v>74</v>
      </c>
      <c r="G60" s="49"/>
    </row>
    <row r="61" spans="1:7" x14ac:dyDescent="0.25">
      <c r="A61" s="49" t="s">
        <v>128</v>
      </c>
      <c r="B61" s="50">
        <v>-288702</v>
      </c>
      <c r="C61" s="50">
        <v>-238891</v>
      </c>
      <c r="D61" s="50">
        <v>-191526</v>
      </c>
      <c r="E61" s="50">
        <v>-139111</v>
      </c>
      <c r="F61" s="50">
        <v>-101556</v>
      </c>
      <c r="G61" s="49"/>
    </row>
    <row r="62" spans="1:7" x14ac:dyDescent="0.25">
      <c r="A62" s="49" t="s">
        <v>129</v>
      </c>
      <c r="B62" s="50">
        <v>79240</v>
      </c>
      <c r="C62" s="50">
        <v>107500</v>
      </c>
      <c r="D62" s="50">
        <v>71891</v>
      </c>
      <c r="E62" s="50">
        <v>-134553</v>
      </c>
      <c r="F62" s="50">
        <v>-98578</v>
      </c>
      <c r="G62" s="49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3882D-C114-4D88-930F-E25172E73D93}">
  <sheetPr codeName="Sheet5"/>
  <dimension ref="A4:G56"/>
  <sheetViews>
    <sheetView topLeftCell="A4" workbookViewId="0">
      <selection activeCell="B39" sqref="B39"/>
    </sheetView>
  </sheetViews>
  <sheetFormatPr defaultRowHeight="13.2" x14ac:dyDescent="0.25"/>
  <cols>
    <col min="1" max="1" width="50" style="43" customWidth="1"/>
    <col min="2" max="196" width="12" style="43" customWidth="1"/>
    <col min="197" max="16384" width="8.88671875" style="43"/>
  </cols>
  <sheetData>
    <row r="4" spans="1:7" x14ac:dyDescent="0.25">
      <c r="A4" s="42" t="s">
        <v>45</v>
      </c>
    </row>
    <row r="5" spans="1:7" ht="21" x14ac:dyDescent="0.4">
      <c r="A5" s="44" t="s">
        <v>46</v>
      </c>
    </row>
    <row r="7" spans="1:7" x14ac:dyDescent="0.25">
      <c r="A7" s="45" t="s">
        <v>47</v>
      </c>
    </row>
    <row r="10" spans="1:7" x14ac:dyDescent="0.25">
      <c r="A10" s="46" t="s">
        <v>130</v>
      </c>
      <c r="B10" s="43">
        <f>YEAR(B11)</f>
        <v>2021</v>
      </c>
      <c r="C10" s="43">
        <f t="shared" ref="C10:F10" si="0">YEAR(C11)</f>
        <v>2020</v>
      </c>
      <c r="D10" s="43">
        <f t="shared" si="0"/>
        <v>2019</v>
      </c>
      <c r="E10" s="43">
        <f t="shared" si="0"/>
        <v>2018</v>
      </c>
      <c r="F10" s="43">
        <f t="shared" si="0"/>
        <v>2017</v>
      </c>
    </row>
    <row r="11" spans="1:7" x14ac:dyDescent="0.25">
      <c r="A11" s="47" t="s">
        <v>49</v>
      </c>
      <c r="B11" s="48" t="s">
        <v>50</v>
      </c>
      <c r="C11" s="48" t="s">
        <v>51</v>
      </c>
      <c r="D11" s="48" t="s">
        <v>52</v>
      </c>
      <c r="E11" s="48" t="s">
        <v>53</v>
      </c>
      <c r="F11" s="48" t="s">
        <v>54</v>
      </c>
      <c r="G11" s="47"/>
    </row>
    <row r="12" spans="1:7" x14ac:dyDescent="0.25">
      <c r="A12" s="47" t="s">
        <v>55</v>
      </c>
      <c r="B12" s="48" t="s">
        <v>56</v>
      </c>
      <c r="C12" s="48" t="s">
        <v>56</v>
      </c>
      <c r="D12" s="48" t="s">
        <v>56</v>
      </c>
      <c r="E12" s="48" t="s">
        <v>56</v>
      </c>
      <c r="F12" s="48" t="s">
        <v>56</v>
      </c>
      <c r="G12" s="47"/>
    </row>
    <row r="13" spans="1:7" ht="26.4" x14ac:dyDescent="0.25">
      <c r="A13" s="47" t="s">
        <v>57</v>
      </c>
      <c r="B13" s="48" t="s">
        <v>58</v>
      </c>
      <c r="C13" s="48" t="s">
        <v>58</v>
      </c>
      <c r="D13" s="48" t="s">
        <v>58</v>
      </c>
      <c r="E13" s="48" t="s">
        <v>58</v>
      </c>
      <c r="F13" s="48" t="s">
        <v>58</v>
      </c>
      <c r="G13" s="47"/>
    </row>
    <row r="14" spans="1:7" x14ac:dyDescent="0.25">
      <c r="A14" s="47" t="s">
        <v>59</v>
      </c>
      <c r="B14" s="48" t="s">
        <v>60</v>
      </c>
      <c r="C14" s="48" t="s">
        <v>60</v>
      </c>
      <c r="D14" s="48" t="s">
        <v>60</v>
      </c>
      <c r="E14" s="48" t="s">
        <v>61</v>
      </c>
      <c r="F14" s="48" t="s">
        <v>61</v>
      </c>
      <c r="G14" s="47"/>
    </row>
    <row r="15" spans="1:7" x14ac:dyDescent="0.25">
      <c r="A15" s="47" t="s">
        <v>62</v>
      </c>
      <c r="B15" s="48" t="s">
        <v>63</v>
      </c>
      <c r="C15" s="48" t="s">
        <v>63</v>
      </c>
      <c r="D15" s="48" t="s">
        <v>63</v>
      </c>
      <c r="E15" s="48" t="s">
        <v>63</v>
      </c>
      <c r="F15" s="48" t="s">
        <v>63</v>
      </c>
      <c r="G15" s="47"/>
    </row>
    <row r="16" spans="1:7" x14ac:dyDescent="0.25">
      <c r="A16" s="49" t="s">
        <v>76</v>
      </c>
      <c r="B16" s="50">
        <v>-49811</v>
      </c>
      <c r="C16" s="50">
        <v>-47365</v>
      </c>
      <c r="D16" s="50">
        <v>-52415</v>
      </c>
      <c r="E16" s="50">
        <v>-37630</v>
      </c>
      <c r="F16" s="50">
        <v>-19356</v>
      </c>
      <c r="G16" s="49"/>
    </row>
    <row r="17" spans="1:7" x14ac:dyDescent="0.25">
      <c r="A17" s="49" t="s">
        <v>131</v>
      </c>
      <c r="B17" s="50">
        <v>1032</v>
      </c>
      <c r="C17" s="50">
        <v>789</v>
      </c>
      <c r="D17" s="50">
        <v>712</v>
      </c>
      <c r="E17" s="50">
        <v>517</v>
      </c>
      <c r="F17" s="50">
        <v>129</v>
      </c>
      <c r="G17" s="49"/>
    </row>
    <row r="18" spans="1:7" x14ac:dyDescent="0.25">
      <c r="A18" s="49" t="s">
        <v>132</v>
      </c>
      <c r="B18" s="50">
        <v>14612</v>
      </c>
      <c r="C18" s="50">
        <v>7226</v>
      </c>
      <c r="D18" s="50">
        <v>2977</v>
      </c>
      <c r="E18" s="50">
        <v>911</v>
      </c>
      <c r="F18" s="50">
        <v>535</v>
      </c>
      <c r="G18" s="49"/>
    </row>
    <row r="19" spans="1:7" x14ac:dyDescent="0.25">
      <c r="A19" s="49" t="s">
        <v>133</v>
      </c>
      <c r="B19" s="51" t="s">
        <v>74</v>
      </c>
      <c r="C19" s="51" t="s">
        <v>74</v>
      </c>
      <c r="D19" s="50">
        <v>21030</v>
      </c>
      <c r="E19" s="50">
        <v>11906</v>
      </c>
      <c r="F19" s="50">
        <v>-2958</v>
      </c>
      <c r="G19" s="49"/>
    </row>
    <row r="20" spans="1:7" x14ac:dyDescent="0.25">
      <c r="A20" s="49" t="s">
        <v>134</v>
      </c>
      <c r="B20" s="50">
        <v>577</v>
      </c>
      <c r="C20" s="50">
        <v>304</v>
      </c>
      <c r="D20" s="50">
        <v>-309</v>
      </c>
      <c r="E20" s="51" t="s">
        <v>74</v>
      </c>
      <c r="F20" s="51" t="s">
        <v>74</v>
      </c>
      <c r="G20" s="49"/>
    </row>
    <row r="21" spans="1:7" x14ac:dyDescent="0.25">
      <c r="A21" s="49" t="s">
        <v>135</v>
      </c>
      <c r="B21" s="50">
        <v>158</v>
      </c>
      <c r="C21" s="50">
        <v>66</v>
      </c>
      <c r="D21" s="50">
        <v>46</v>
      </c>
      <c r="E21" s="50">
        <v>68</v>
      </c>
      <c r="F21" s="50">
        <v>89</v>
      </c>
      <c r="G21" s="49"/>
    </row>
    <row r="22" spans="1:7" x14ac:dyDescent="0.25">
      <c r="A22" s="49" t="s">
        <v>136</v>
      </c>
      <c r="B22" s="50">
        <v>887</v>
      </c>
      <c r="C22" s="50">
        <v>602</v>
      </c>
      <c r="D22" s="50">
        <v>582</v>
      </c>
      <c r="E22" s="51" t="s">
        <v>74</v>
      </c>
      <c r="F22" s="51" t="s">
        <v>74</v>
      </c>
      <c r="G22" s="49"/>
    </row>
    <row r="23" spans="1:7" x14ac:dyDescent="0.25">
      <c r="A23" s="49" t="s">
        <v>137</v>
      </c>
      <c r="B23" s="51" t="s">
        <v>74</v>
      </c>
      <c r="C23" s="50">
        <v>241</v>
      </c>
      <c r="D23" s="50">
        <v>672</v>
      </c>
      <c r="E23" s="50">
        <v>1555</v>
      </c>
      <c r="F23" s="50">
        <v>1705</v>
      </c>
      <c r="G23" s="49"/>
    </row>
    <row r="24" spans="1:7" x14ac:dyDescent="0.25">
      <c r="A24" s="49" t="s">
        <v>138</v>
      </c>
      <c r="B24" s="51" t="s">
        <v>74</v>
      </c>
      <c r="C24" s="50">
        <v>1119</v>
      </c>
      <c r="D24" s="51" t="s">
        <v>74</v>
      </c>
      <c r="E24" s="51" t="s">
        <v>74</v>
      </c>
      <c r="F24" s="51" t="s">
        <v>74</v>
      </c>
      <c r="G24" s="49"/>
    </row>
    <row r="25" spans="1:7" x14ac:dyDescent="0.25">
      <c r="A25" s="49" t="s">
        <v>139</v>
      </c>
      <c r="B25" s="50">
        <v>9</v>
      </c>
      <c r="C25" s="50">
        <v>52</v>
      </c>
      <c r="D25" s="51" t="s">
        <v>74</v>
      </c>
      <c r="E25" s="50">
        <v>159</v>
      </c>
      <c r="F25" s="51" t="s">
        <v>74</v>
      </c>
      <c r="G25" s="49"/>
    </row>
    <row r="26" spans="1:7" x14ac:dyDescent="0.25">
      <c r="A26" s="49" t="s">
        <v>140</v>
      </c>
      <c r="B26" s="50">
        <v>6</v>
      </c>
      <c r="C26" s="50">
        <v>-32</v>
      </c>
      <c r="D26" s="50">
        <v>23</v>
      </c>
      <c r="E26" s="50">
        <v>1835</v>
      </c>
      <c r="F26" s="50">
        <v>423</v>
      </c>
      <c r="G26" s="49"/>
    </row>
    <row r="27" spans="1:7" x14ac:dyDescent="0.25">
      <c r="A27" s="49" t="s">
        <v>141</v>
      </c>
      <c r="B27" s="50">
        <v>77</v>
      </c>
      <c r="C27" s="50">
        <v>117</v>
      </c>
      <c r="D27" s="50">
        <v>118</v>
      </c>
      <c r="E27" s="50">
        <v>23</v>
      </c>
      <c r="F27" s="50">
        <v>63</v>
      </c>
      <c r="G27" s="49"/>
    </row>
    <row r="28" spans="1:7" x14ac:dyDescent="0.25">
      <c r="A28" s="49" t="s">
        <v>142</v>
      </c>
      <c r="B28" s="50">
        <v>-2769</v>
      </c>
      <c r="C28" s="50">
        <v>-437</v>
      </c>
      <c r="D28" s="50">
        <v>-2241</v>
      </c>
      <c r="E28" s="50">
        <v>-1003</v>
      </c>
      <c r="F28" s="50">
        <v>-4793</v>
      </c>
      <c r="G28" s="49"/>
    </row>
    <row r="29" spans="1:7" x14ac:dyDescent="0.25">
      <c r="A29" s="49" t="s">
        <v>93</v>
      </c>
      <c r="B29" s="50">
        <v>-5563</v>
      </c>
      <c r="C29" s="50">
        <v>-2161</v>
      </c>
      <c r="D29" s="50">
        <v>-4696</v>
      </c>
      <c r="E29" s="50">
        <v>-2565</v>
      </c>
      <c r="F29" s="50">
        <v>-2408</v>
      </c>
      <c r="G29" s="49"/>
    </row>
    <row r="30" spans="1:7" x14ac:dyDescent="0.25">
      <c r="A30" s="49" t="s">
        <v>94</v>
      </c>
      <c r="B30" s="50">
        <v>-772</v>
      </c>
      <c r="C30" s="50">
        <v>250</v>
      </c>
      <c r="D30" s="50">
        <v>-1471</v>
      </c>
      <c r="E30" s="50">
        <v>-1128</v>
      </c>
      <c r="F30" s="50">
        <v>-10</v>
      </c>
      <c r="G30" s="49"/>
    </row>
    <row r="31" spans="1:7" x14ac:dyDescent="0.25">
      <c r="A31" s="49" t="s">
        <v>143</v>
      </c>
      <c r="B31" s="50">
        <v>-117</v>
      </c>
      <c r="C31" s="50">
        <v>210</v>
      </c>
      <c r="D31" s="50">
        <v>552</v>
      </c>
      <c r="E31" s="50">
        <v>-62</v>
      </c>
      <c r="F31" s="51" t="s">
        <v>74</v>
      </c>
      <c r="G31" s="49"/>
    </row>
    <row r="32" spans="1:7" x14ac:dyDescent="0.25">
      <c r="A32" s="49" t="s">
        <v>107</v>
      </c>
      <c r="B32" s="50">
        <v>-1159</v>
      </c>
      <c r="C32" s="50">
        <v>592</v>
      </c>
      <c r="D32" s="50">
        <v>615</v>
      </c>
      <c r="E32" s="50">
        <v>-309</v>
      </c>
      <c r="F32" s="50">
        <v>678</v>
      </c>
      <c r="G32" s="49"/>
    </row>
    <row r="33" spans="1:7" x14ac:dyDescent="0.25">
      <c r="A33" s="49" t="s">
        <v>118</v>
      </c>
      <c r="B33" s="50">
        <v>4418</v>
      </c>
      <c r="C33" s="50">
        <v>146</v>
      </c>
      <c r="D33" s="50">
        <v>4964</v>
      </c>
      <c r="E33" s="50">
        <v>3622</v>
      </c>
      <c r="F33" s="50">
        <v>651</v>
      </c>
      <c r="G33" s="49"/>
    </row>
    <row r="34" spans="1:7" x14ac:dyDescent="0.25">
      <c r="A34" s="49" t="s">
        <v>122</v>
      </c>
      <c r="B34" s="50">
        <v>-520</v>
      </c>
      <c r="C34" s="50">
        <v>26</v>
      </c>
      <c r="D34" s="50">
        <v>-769</v>
      </c>
      <c r="E34" s="50">
        <v>406</v>
      </c>
      <c r="F34" s="51" t="s">
        <v>74</v>
      </c>
      <c r="G34" s="49"/>
    </row>
    <row r="35" spans="1:7" x14ac:dyDescent="0.25">
      <c r="A35" s="49" t="s">
        <v>144</v>
      </c>
      <c r="B35" s="51" t="s">
        <v>74</v>
      </c>
      <c r="C35" s="50">
        <v>-3813</v>
      </c>
      <c r="D35" s="51" t="s">
        <v>74</v>
      </c>
      <c r="E35" s="51" t="s">
        <v>74</v>
      </c>
      <c r="F35" s="51" t="s">
        <v>74</v>
      </c>
      <c r="G35" s="49"/>
    </row>
    <row r="36" spans="1:7" x14ac:dyDescent="0.25">
      <c r="A36" s="49" t="s">
        <v>145</v>
      </c>
      <c r="B36" s="50">
        <v>-38935</v>
      </c>
      <c r="C36" s="50">
        <v>-42068</v>
      </c>
      <c r="D36" s="50">
        <v>-29610</v>
      </c>
      <c r="E36" s="50">
        <v>-21695</v>
      </c>
      <c r="F36" s="50">
        <v>-25252</v>
      </c>
      <c r="G36" s="49"/>
    </row>
    <row r="37" spans="1:7" x14ac:dyDescent="0.25">
      <c r="A37" s="49" t="s">
        <v>146</v>
      </c>
      <c r="B37" s="50">
        <v>-4758</v>
      </c>
      <c r="C37" s="50">
        <v>-842</v>
      </c>
      <c r="D37" s="50">
        <v>-535</v>
      </c>
      <c r="E37" s="50">
        <v>-2276</v>
      </c>
      <c r="F37" s="50">
        <v>-443</v>
      </c>
      <c r="G37" s="49"/>
    </row>
    <row r="38" spans="1:7" x14ac:dyDescent="0.25">
      <c r="A38" s="49" t="s">
        <v>147</v>
      </c>
      <c r="B38" s="50">
        <v>2</v>
      </c>
      <c r="C38" s="51" t="s">
        <v>74</v>
      </c>
      <c r="D38" s="51" t="s">
        <v>74</v>
      </c>
      <c r="E38" s="50">
        <v>6</v>
      </c>
      <c r="F38" s="51" t="s">
        <v>74</v>
      </c>
      <c r="G38" s="49"/>
    </row>
    <row r="39" spans="1:7" x14ac:dyDescent="0.25">
      <c r="A39" s="49" t="s">
        <v>148</v>
      </c>
      <c r="B39" s="51" t="s">
        <v>74</v>
      </c>
      <c r="C39" s="50">
        <v>-79906</v>
      </c>
      <c r="D39" s="50">
        <v>-69421</v>
      </c>
      <c r="E39" s="51" t="s">
        <v>74</v>
      </c>
      <c r="F39" s="51" t="s">
        <v>74</v>
      </c>
      <c r="G39" s="49"/>
    </row>
    <row r="40" spans="1:7" x14ac:dyDescent="0.25">
      <c r="A40" s="49" t="s">
        <v>149</v>
      </c>
      <c r="B40" s="50">
        <v>77400</v>
      </c>
      <c r="C40" s="50">
        <v>71355</v>
      </c>
      <c r="D40" s="51" t="s">
        <v>74</v>
      </c>
      <c r="E40" s="51" t="s">
        <v>74</v>
      </c>
      <c r="F40" s="51" t="s">
        <v>74</v>
      </c>
      <c r="G40" s="49"/>
    </row>
    <row r="41" spans="1:7" x14ac:dyDescent="0.25">
      <c r="A41" s="49" t="s">
        <v>150</v>
      </c>
      <c r="B41" s="50">
        <v>72644</v>
      </c>
      <c r="C41" s="50">
        <v>-9393</v>
      </c>
      <c r="D41" s="50">
        <v>-69956</v>
      </c>
      <c r="E41" s="50">
        <v>-2270</v>
      </c>
      <c r="F41" s="50">
        <v>-443</v>
      </c>
      <c r="G41" s="49"/>
    </row>
    <row r="42" spans="1:7" x14ac:dyDescent="0.25">
      <c r="A42" s="49" t="s">
        <v>151</v>
      </c>
      <c r="B42" s="51" t="s">
        <v>74</v>
      </c>
      <c r="C42" s="50">
        <v>70568</v>
      </c>
      <c r="D42" s="50">
        <v>109352</v>
      </c>
      <c r="E42" s="50">
        <v>-233</v>
      </c>
      <c r="F42" s="51" t="s">
        <v>74</v>
      </c>
      <c r="G42" s="49"/>
    </row>
    <row r="43" spans="1:7" x14ac:dyDescent="0.25">
      <c r="A43" s="49" t="s">
        <v>152</v>
      </c>
      <c r="B43" s="51" t="s">
        <v>74</v>
      </c>
      <c r="C43" s="50">
        <v>48506</v>
      </c>
      <c r="D43" s="51" t="s">
        <v>74</v>
      </c>
      <c r="E43" s="50">
        <v>15000</v>
      </c>
      <c r="F43" s="50">
        <v>5000</v>
      </c>
      <c r="G43" s="49"/>
    </row>
    <row r="44" spans="1:7" x14ac:dyDescent="0.25">
      <c r="A44" s="49" t="s">
        <v>153</v>
      </c>
      <c r="B44" s="50">
        <v>6946</v>
      </c>
      <c r="C44" s="50">
        <v>5168</v>
      </c>
      <c r="D44" s="50">
        <v>2590</v>
      </c>
      <c r="E44" s="50">
        <v>656</v>
      </c>
      <c r="F44" s="50">
        <v>338</v>
      </c>
      <c r="G44" s="49"/>
    </row>
    <row r="45" spans="1:7" x14ac:dyDescent="0.25">
      <c r="A45" s="49" t="s">
        <v>154</v>
      </c>
      <c r="B45" s="51" t="s">
        <v>74</v>
      </c>
      <c r="C45" s="51" t="s">
        <v>74</v>
      </c>
      <c r="D45" s="51" t="s">
        <v>74</v>
      </c>
      <c r="E45" s="51" t="s">
        <v>74</v>
      </c>
      <c r="F45" s="50">
        <v>41818</v>
      </c>
      <c r="G45" s="49"/>
    </row>
    <row r="46" spans="1:7" x14ac:dyDescent="0.25">
      <c r="A46" s="49" t="s">
        <v>155</v>
      </c>
      <c r="B46" s="51" t="s">
        <v>74</v>
      </c>
      <c r="C46" s="51" t="s">
        <v>74</v>
      </c>
      <c r="D46" s="50">
        <v>1784</v>
      </c>
      <c r="E46" s="51" t="s">
        <v>74</v>
      </c>
      <c r="F46" s="51" t="s">
        <v>74</v>
      </c>
      <c r="G46" s="49"/>
    </row>
    <row r="47" spans="1:7" x14ac:dyDescent="0.25">
      <c r="A47" s="49" t="s">
        <v>156</v>
      </c>
      <c r="B47" s="51" t="s">
        <v>74</v>
      </c>
      <c r="C47" s="51" t="s">
        <v>74</v>
      </c>
      <c r="D47" s="50">
        <v>31</v>
      </c>
      <c r="E47" s="51" t="s">
        <v>74</v>
      </c>
      <c r="F47" s="51" t="s">
        <v>74</v>
      </c>
      <c r="G47" s="49"/>
    </row>
    <row r="48" spans="1:7" x14ac:dyDescent="0.25">
      <c r="A48" s="49" t="s">
        <v>157</v>
      </c>
      <c r="B48" s="51" t="s">
        <v>74</v>
      </c>
      <c r="C48" s="50">
        <v>-40000</v>
      </c>
      <c r="D48" s="51" t="s">
        <v>74</v>
      </c>
      <c r="E48" s="51" t="s">
        <v>74</v>
      </c>
      <c r="F48" s="51" t="s">
        <v>74</v>
      </c>
      <c r="G48" s="49"/>
    </row>
    <row r="49" spans="1:7" x14ac:dyDescent="0.25">
      <c r="A49" s="49" t="s">
        <v>158</v>
      </c>
      <c r="B49" s="51" t="s">
        <v>74</v>
      </c>
      <c r="C49" s="50">
        <v>-2496</v>
      </c>
      <c r="D49" s="51" t="s">
        <v>74</v>
      </c>
      <c r="E49" s="51" t="s">
        <v>74</v>
      </c>
      <c r="F49" s="51" t="s">
        <v>74</v>
      </c>
      <c r="G49" s="49"/>
    </row>
    <row r="50" spans="1:7" x14ac:dyDescent="0.25">
      <c r="A50" s="49" t="s">
        <v>159</v>
      </c>
      <c r="B50" s="50">
        <v>32</v>
      </c>
      <c r="C50" s="51" t="s">
        <v>74</v>
      </c>
      <c r="D50" s="51" t="s">
        <v>74</v>
      </c>
      <c r="E50" s="51" t="s">
        <v>74</v>
      </c>
      <c r="F50" s="51" t="s">
        <v>74</v>
      </c>
      <c r="G50" s="49"/>
    </row>
    <row r="51" spans="1:7" x14ac:dyDescent="0.25">
      <c r="A51" s="49" t="s">
        <v>160</v>
      </c>
      <c r="B51" s="51" t="s">
        <v>74</v>
      </c>
      <c r="C51" s="51" t="s">
        <v>74</v>
      </c>
      <c r="D51" s="51" t="s">
        <v>74</v>
      </c>
      <c r="E51" s="50">
        <v>1</v>
      </c>
      <c r="F51" s="51" t="s">
        <v>74</v>
      </c>
      <c r="G51" s="49"/>
    </row>
    <row r="52" spans="1:7" x14ac:dyDescent="0.25">
      <c r="A52" s="49" t="s">
        <v>161</v>
      </c>
      <c r="B52" s="50">
        <v>6978</v>
      </c>
      <c r="C52" s="50">
        <v>81746</v>
      </c>
      <c r="D52" s="50">
        <v>113757</v>
      </c>
      <c r="E52" s="50">
        <v>15424</v>
      </c>
      <c r="F52" s="50">
        <v>47156</v>
      </c>
      <c r="G52" s="49"/>
    </row>
    <row r="53" spans="1:7" x14ac:dyDescent="0.25">
      <c r="A53" s="49" t="s">
        <v>162</v>
      </c>
      <c r="B53" s="50">
        <v>40687</v>
      </c>
      <c r="C53" s="50">
        <v>30285</v>
      </c>
      <c r="D53" s="50">
        <v>14191</v>
      </c>
      <c r="E53" s="50">
        <v>-8541</v>
      </c>
      <c r="F53" s="50">
        <v>21461</v>
      </c>
      <c r="G53" s="49"/>
    </row>
    <row r="54" spans="1:7" x14ac:dyDescent="0.25">
      <c r="A54" s="49" t="s">
        <v>163</v>
      </c>
      <c r="B54" s="50">
        <v>69776</v>
      </c>
      <c r="C54" s="50">
        <v>39491</v>
      </c>
      <c r="D54" s="50">
        <v>25300</v>
      </c>
      <c r="E54" s="50">
        <v>33841</v>
      </c>
      <c r="F54" s="50">
        <v>12380</v>
      </c>
      <c r="G54" s="49"/>
    </row>
    <row r="55" spans="1:7" x14ac:dyDescent="0.25">
      <c r="A55" s="49" t="s">
        <v>164</v>
      </c>
      <c r="B55" s="50">
        <v>110463</v>
      </c>
      <c r="C55" s="50">
        <v>69776</v>
      </c>
      <c r="D55" s="50">
        <v>39491</v>
      </c>
      <c r="E55" s="50">
        <v>25300</v>
      </c>
      <c r="F55" s="50">
        <v>33841</v>
      </c>
      <c r="G55" s="49"/>
    </row>
    <row r="56" spans="1:7" x14ac:dyDescent="0.25">
      <c r="A56" s="49" t="s">
        <v>165</v>
      </c>
      <c r="B56" s="50">
        <v>2360</v>
      </c>
      <c r="C56" s="50">
        <v>7917</v>
      </c>
      <c r="D56" s="50">
        <v>4234</v>
      </c>
      <c r="E56" s="50">
        <v>2738</v>
      </c>
      <c r="F56" s="50">
        <v>2149</v>
      </c>
      <c r="G56" s="49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SILK_DCF</vt:lpstr>
      <vt:lpstr>SILK_Cases</vt:lpstr>
      <vt:lpstr>SILK_IS</vt:lpstr>
      <vt:lpstr>SILK_BS</vt:lpstr>
      <vt:lpstr>SILK_CFS</vt:lpstr>
    </vt:vector>
  </TitlesOfParts>
  <Company>Loyola Marymount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David_Moore</dc:creator>
  <cp:lastModifiedBy>David Moore</cp:lastModifiedBy>
  <dcterms:created xsi:type="dcterms:W3CDTF">2019-02-12T17:30:01Z</dcterms:created>
  <dcterms:modified xsi:type="dcterms:W3CDTF">2022-10-18T19:04:49Z</dcterms:modified>
</cp:coreProperties>
</file>