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5\Fall_20\Mod6_DCF2\"/>
    </mc:Choice>
  </mc:AlternateContent>
  <xr:revisionPtr revIDLastSave="0" documentId="8_{95BEBD5A-43D7-4961-8FBF-8C46233A41B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FIX_DCF" sheetId="1" r:id="rId1"/>
    <sheet name="Option_Value" sheetId="8" r:id="rId2"/>
    <sheet name="SFIX_IS" sheetId="5" r:id="rId3"/>
    <sheet name="SFIX_BS" sheetId="6" r:id="rId4"/>
    <sheet name="SFIX_CFS" sheetId="7" r:id="rId5"/>
  </sheets>
  <externalReferences>
    <externalReference r:id="rId6"/>
    <externalReference r:id="rId7"/>
    <externalReference r:id="rId8"/>
  </externalReferences>
  <definedNames>
    <definedName name="_xlnm._FilterDatabase" localSheetId="0" hidden="1">SFIX_DCF!#REF!</definedName>
    <definedName name="AXL_Debt">[1]AXL_BS!$B$65</definedName>
    <definedName name="BEA_Debt">#REF!</definedName>
    <definedName name="BWA_Debt">[1]BWA_BS!$B$111</definedName>
    <definedName name="CIQWBGuid" hidden="1">"d0998759-8ba7-4210-8fa6-7a4a90d99731"</definedName>
    <definedName name="DAN_Debt">[1]DAN_BS!$B$94</definedName>
    <definedName name="GNTX_NCI">[1]GNTX_LTM!$E$13</definedName>
    <definedName name="GNTX_Net_Debt">[1]GNTX_LTM!$E$11</definedName>
    <definedName name="GNTX_PS">[1]GNTX_LTM!$E$12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43011.9007060185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rispy_Cash_LQ">[3]KKD_BS_LQ!$B$3</definedName>
    <definedName name="Krispy_EBITDA_LTM">[3]KKD_LTM!$E$6</definedName>
    <definedName name="LEA_Debt">[1]LEA_BS!$B$58</definedName>
    <definedName name="THRM_Debt">[1]THRM_BS!$B$78</definedName>
    <definedName name="VC_Debt">[1]VC_BS!$B$109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5" i="1" l="1"/>
  <c r="S44" i="1" s="1"/>
  <c r="N84" i="1"/>
  <c r="I85" i="1"/>
  <c r="N46" i="1" s="1"/>
  <c r="E10" i="8"/>
  <c r="S38" i="1"/>
  <c r="S45" i="1"/>
  <c r="I117" i="1"/>
  <c r="I46" i="1"/>
  <c r="N82" i="1"/>
  <c r="N77" i="1"/>
  <c r="I77" i="1"/>
  <c r="I81" i="1"/>
  <c r="I82" i="1" s="1"/>
  <c r="I83" i="1" s="1"/>
  <c r="G20" i="8"/>
  <c r="D20" i="8"/>
  <c r="G19" i="8"/>
  <c r="G18" i="8"/>
  <c r="D17" i="8"/>
  <c r="D19" i="8" s="1"/>
  <c r="G16" i="8"/>
  <c r="G17" i="8"/>
  <c r="G21" i="8" l="1"/>
  <c r="I44" i="1" l="1"/>
  <c r="N44" i="1"/>
  <c r="D127" i="1"/>
  <c r="K118" i="1"/>
  <c r="G121" i="1"/>
  <c r="F121" i="1"/>
  <c r="F120" i="1"/>
  <c r="G120" i="1" s="1"/>
  <c r="F119" i="1"/>
  <c r="G119" i="1" s="1"/>
  <c r="F118" i="1"/>
  <c r="G118" i="1" s="1"/>
  <c r="F117" i="1"/>
  <c r="G117" i="1" s="1"/>
  <c r="F94" i="1"/>
  <c r="F95" i="1" s="1"/>
  <c r="F92" i="1"/>
  <c r="D126" i="1" s="1"/>
  <c r="F97" i="1" l="1"/>
  <c r="I118" i="1"/>
  <c r="K119" i="1"/>
  <c r="K120" i="1" s="1"/>
  <c r="K121" i="1" s="1"/>
  <c r="I121" i="1" s="1"/>
  <c r="I119" i="1"/>
  <c r="I120" i="1"/>
  <c r="F98" i="1"/>
  <c r="D124" i="1" l="1"/>
  <c r="D128" i="1" l="1"/>
  <c r="F107" i="1" s="1"/>
  <c r="F108" i="1" s="1"/>
  <c r="F110" i="1" s="1"/>
  <c r="N39" i="1" l="1"/>
  <c r="I39" i="1"/>
  <c r="F19" i="1" l="1"/>
  <c r="L71" i="1"/>
  <c r="M71" i="1" s="1"/>
  <c r="N71" i="1" s="1"/>
  <c r="O71" i="1" s="1"/>
  <c r="C10" i="6"/>
  <c r="D10" i="6"/>
  <c r="E10" i="6"/>
  <c r="F10" i="6"/>
  <c r="B10" i="6"/>
  <c r="F18" i="1"/>
  <c r="F17" i="1"/>
  <c r="F12" i="1"/>
  <c r="F9" i="1"/>
  <c r="C10" i="5"/>
  <c r="D10" i="5"/>
  <c r="E10" i="5"/>
  <c r="F10" i="5"/>
  <c r="B10" i="5"/>
  <c r="C51" i="5"/>
  <c r="D51" i="5"/>
  <c r="E51" i="5"/>
  <c r="F51" i="5"/>
  <c r="B51" i="5"/>
  <c r="C50" i="5"/>
  <c r="D50" i="5"/>
  <c r="E50" i="5"/>
  <c r="F50" i="5"/>
  <c r="B50" i="5"/>
  <c r="F30" i="1" l="1"/>
  <c r="F8" i="1"/>
  <c r="F10" i="1" s="1"/>
  <c r="G7" i="1"/>
  <c r="F13" i="1" l="1"/>
  <c r="F31" i="1"/>
  <c r="F28" i="1"/>
  <c r="F29" i="1"/>
  <c r="H7" i="1"/>
  <c r="G9" i="1"/>
  <c r="G18" i="1"/>
  <c r="G29" i="1" s="1"/>
  <c r="G17" i="1"/>
  <c r="G12" i="1"/>
  <c r="G8" i="1"/>
  <c r="F14" i="1"/>
  <c r="F15" i="1" s="1"/>
  <c r="F20" i="1" s="1"/>
  <c r="F27" i="1"/>
  <c r="F55" i="1"/>
  <c r="F24" i="1"/>
  <c r="G24" i="1" s="1"/>
  <c r="H24" i="1" s="1"/>
  <c r="I24" i="1" s="1"/>
  <c r="J24" i="1" s="1"/>
  <c r="K24" i="1" s="1"/>
  <c r="L24" i="1" s="1"/>
  <c r="M24" i="1" s="1"/>
  <c r="N24" i="1" s="1"/>
  <c r="O24" i="1" s="1"/>
  <c r="S27" i="1" l="1"/>
  <c r="L27" i="1" s="1"/>
  <c r="S26" i="1"/>
  <c r="L26" i="1" s="1"/>
  <c r="M26" i="1" s="1"/>
  <c r="N26" i="1" s="1"/>
  <c r="O26" i="1" s="1"/>
  <c r="S28" i="1"/>
  <c r="L28" i="1" s="1"/>
  <c r="M28" i="1" s="1"/>
  <c r="N28" i="1" s="1"/>
  <c r="O28" i="1" s="1"/>
  <c r="S29" i="1"/>
  <c r="L29" i="1" s="1"/>
  <c r="S30" i="1"/>
  <c r="L30" i="1" s="1"/>
  <c r="M30" i="1" s="1"/>
  <c r="N30" i="1" s="1"/>
  <c r="O30" i="1" s="1"/>
  <c r="G27" i="1"/>
  <c r="G55" i="1"/>
  <c r="F61" i="1"/>
  <c r="F63" i="1" s="1"/>
  <c r="F58" i="1"/>
  <c r="F57" i="1"/>
  <c r="F62" i="1"/>
  <c r="F56" i="1"/>
  <c r="F59" i="1" s="1"/>
  <c r="G28" i="1"/>
  <c r="G30" i="1"/>
  <c r="G26" i="1"/>
  <c r="G10" i="1"/>
  <c r="I7" i="1"/>
  <c r="H9" i="1"/>
  <c r="H8" i="1"/>
  <c r="H26" i="1" s="1"/>
  <c r="H18" i="1"/>
  <c r="H17" i="1"/>
  <c r="H12" i="1"/>
  <c r="F70" i="1"/>
  <c r="G70" i="1" s="1"/>
  <c r="H70" i="1" s="1"/>
  <c r="I70" i="1" s="1"/>
  <c r="J70" i="1" s="1"/>
  <c r="K70" i="1" s="1"/>
  <c r="L70" i="1" s="1"/>
  <c r="M70" i="1" s="1"/>
  <c r="N70" i="1" s="1"/>
  <c r="O70" i="1" s="1"/>
  <c r="H30" i="1" l="1"/>
  <c r="F65" i="1"/>
  <c r="F71" i="1" s="1"/>
  <c r="H28" i="1"/>
  <c r="H55" i="1"/>
  <c r="G58" i="1"/>
  <c r="G57" i="1"/>
  <c r="G62" i="1"/>
  <c r="G56" i="1"/>
  <c r="G61" i="1"/>
  <c r="M29" i="1"/>
  <c r="N29" i="1" s="1"/>
  <c r="H27" i="1"/>
  <c r="H29" i="1"/>
  <c r="G13" i="1"/>
  <c r="G31" i="1"/>
  <c r="M27" i="1"/>
  <c r="J7" i="1"/>
  <c r="I18" i="1"/>
  <c r="I17" i="1"/>
  <c r="I30" i="1" s="1"/>
  <c r="I12" i="1"/>
  <c r="I8" i="1"/>
  <c r="I26" i="1" s="1"/>
  <c r="I9" i="1"/>
  <c r="G14" i="1"/>
  <c r="G15" i="1" s="1"/>
  <c r="H10" i="1"/>
  <c r="I27" i="1" l="1"/>
  <c r="I29" i="1"/>
  <c r="G63" i="1"/>
  <c r="N27" i="1"/>
  <c r="G59" i="1"/>
  <c r="I55" i="1"/>
  <c r="H57" i="1"/>
  <c r="H62" i="1"/>
  <c r="H56" i="1"/>
  <c r="H61" i="1"/>
  <c r="H58" i="1"/>
  <c r="H13" i="1"/>
  <c r="H31" i="1"/>
  <c r="I28" i="1"/>
  <c r="O29" i="1"/>
  <c r="H14" i="1"/>
  <c r="H15" i="1" s="1"/>
  <c r="I10" i="1"/>
  <c r="K7" i="1"/>
  <c r="L7" i="1" s="1"/>
  <c r="M7" i="1" s="1"/>
  <c r="N7" i="1" s="1"/>
  <c r="O7" i="1" s="1"/>
  <c r="J17" i="1"/>
  <c r="J12" i="1"/>
  <c r="J28" i="1" s="1"/>
  <c r="J9" i="1"/>
  <c r="J8" i="1"/>
  <c r="J18" i="1"/>
  <c r="J29" i="1" s="1"/>
  <c r="H59" i="1" l="1"/>
  <c r="G65" i="1"/>
  <c r="G66" i="1" s="1"/>
  <c r="G19" i="1" s="1"/>
  <c r="G20" i="1" s="1"/>
  <c r="O27" i="1"/>
  <c r="G71" i="1"/>
  <c r="J30" i="1"/>
  <c r="J10" i="1"/>
  <c r="J26" i="1"/>
  <c r="K8" i="1"/>
  <c r="J27" i="1"/>
  <c r="I13" i="1"/>
  <c r="I31" i="1"/>
  <c r="H63" i="1"/>
  <c r="H65" i="1" s="1"/>
  <c r="J55" i="1"/>
  <c r="I62" i="1"/>
  <c r="I56" i="1"/>
  <c r="I61" i="1"/>
  <c r="I58" i="1"/>
  <c r="I57" i="1"/>
  <c r="I14" i="1"/>
  <c r="I15" i="1" l="1"/>
  <c r="I63" i="1"/>
  <c r="H71" i="1"/>
  <c r="H66" i="1"/>
  <c r="H19" i="1" s="1"/>
  <c r="H20" i="1" s="1"/>
  <c r="K55" i="1"/>
  <c r="L55" i="1" s="1"/>
  <c r="M55" i="1" s="1"/>
  <c r="N55" i="1" s="1"/>
  <c r="O55" i="1" s="1"/>
  <c r="J61" i="1"/>
  <c r="J58" i="1"/>
  <c r="J57" i="1"/>
  <c r="J62" i="1"/>
  <c r="J56" i="1"/>
  <c r="I59" i="1"/>
  <c r="I65" i="1" s="1"/>
  <c r="K18" i="1"/>
  <c r="K17" i="1" s="1"/>
  <c r="K65" i="1"/>
  <c r="K9" i="1"/>
  <c r="K10" i="1" s="1"/>
  <c r="K12" i="1"/>
  <c r="L8" i="1"/>
  <c r="J13" i="1"/>
  <c r="J14" i="1" s="1"/>
  <c r="J15" i="1" s="1"/>
  <c r="J31" i="1"/>
  <c r="M8" i="1" l="1"/>
  <c r="L65" i="1"/>
  <c r="L66" i="1" s="1"/>
  <c r="L19" i="1" s="1"/>
  <c r="L12" i="1"/>
  <c r="L9" i="1"/>
  <c r="L10" i="1" s="1"/>
  <c r="L13" i="1" s="1"/>
  <c r="L14" i="1" s="1"/>
  <c r="L15" i="1" s="1"/>
  <c r="L20" i="1" s="1"/>
  <c r="L18" i="1"/>
  <c r="L17" i="1" s="1"/>
  <c r="K13" i="1"/>
  <c r="K14" i="1" s="1"/>
  <c r="K15" i="1" s="1"/>
  <c r="I71" i="1"/>
  <c r="I66" i="1"/>
  <c r="I19" i="1" s="1"/>
  <c r="I20" i="1" s="1"/>
  <c r="J59" i="1"/>
  <c r="J63" i="1"/>
  <c r="J65" i="1" l="1"/>
  <c r="M18" i="1"/>
  <c r="M17" i="1" s="1"/>
  <c r="M65" i="1"/>
  <c r="M66" i="1" s="1"/>
  <c r="M19" i="1" s="1"/>
  <c r="N8" i="1"/>
  <c r="M12" i="1"/>
  <c r="M9" i="1"/>
  <c r="M10" i="1" s="1"/>
  <c r="M13" i="1" s="1"/>
  <c r="J71" i="1" l="1"/>
  <c r="J66" i="1"/>
  <c r="J19" i="1" s="1"/>
  <c r="J20" i="1" s="1"/>
  <c r="K66" i="1"/>
  <c r="K19" i="1" s="1"/>
  <c r="K20" i="1" s="1"/>
  <c r="M14" i="1"/>
  <c r="M15" i="1" s="1"/>
  <c r="M20" i="1" s="1"/>
  <c r="N65" i="1"/>
  <c r="N66" i="1" s="1"/>
  <c r="N19" i="1" s="1"/>
  <c r="O8" i="1"/>
  <c r="N12" i="1"/>
  <c r="N18" i="1"/>
  <c r="N17" i="1" s="1"/>
  <c r="N9" i="1"/>
  <c r="N10" i="1" s="1"/>
  <c r="N13" i="1" l="1"/>
  <c r="N14" i="1" s="1"/>
  <c r="N15" i="1" s="1"/>
  <c r="N20" i="1" s="1"/>
  <c r="O65" i="1"/>
  <c r="O66" i="1" s="1"/>
  <c r="O19" i="1" s="1"/>
  <c r="O12" i="1"/>
  <c r="O18" i="1"/>
  <c r="O17" i="1" s="1"/>
  <c r="O9" i="1"/>
  <c r="O10" i="1" s="1"/>
  <c r="O13" i="1" l="1"/>
  <c r="O14" i="1" l="1"/>
  <c r="O15" i="1" s="1"/>
  <c r="O20" i="1" s="1"/>
  <c r="N36" i="1"/>
  <c r="N38" i="1" s="1"/>
  <c r="N40" i="1" s="1"/>
  <c r="I36" i="1" l="1"/>
  <c r="I38" i="1" s="1"/>
  <c r="I40" i="1" s="1"/>
  <c r="N42" i="1"/>
  <c r="N43" i="1" s="1"/>
  <c r="N45" i="1" s="1"/>
  <c r="N47" i="1" s="1"/>
  <c r="I42" i="1"/>
  <c r="I43" i="1" s="1"/>
  <c r="I45" i="1" s="1"/>
  <c r="I47" i="1" l="1"/>
  <c r="S37" i="1"/>
  <c r="S43" i="1"/>
  <c r="S46" i="1" s="1"/>
  <c r="E3" i="8" l="1"/>
  <c r="D16" i="8"/>
  <c r="D18" i="8"/>
  <c r="C23" i="8"/>
  <c r="C24" i="8"/>
  <c r="C26" i="8"/>
  <c r="C27" i="8"/>
  <c r="D29" i="8"/>
  <c r="E30" i="8"/>
  <c r="S39" i="1"/>
  <c r="S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Moore</author>
  </authors>
  <commentList>
    <comment ref="I37" authorId="0" shapeId="0" xr:uid="{032F3EA6-042E-48B7-9F45-D9632EDA828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10-yr US Treasury Bond (10/22/2020 6:00am PST)
</t>
        </r>
      </text>
    </comment>
    <comment ref="N37" authorId="0" shapeId="0" xr:uid="{64586CDD-68B3-464E-8B19-F4A6EE75EA08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Damodaran Retail(online) industry average EV/
EBITDA
</t>
        </r>
      </text>
    </comment>
    <comment ref="F101" authorId="0" shapeId="0" xr:uid="{BC786AA1-3A85-4B26-92E3-4844FDA29758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Discount rate used by SFIX for leases. (See FY2020 10K page 60)
</t>
        </r>
      </text>
    </comment>
    <comment ref="F105" authorId="0" shapeId="0" xr:uid="{9B5D62A3-D666-493B-8E8B-5EE3D233A2A1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10-year US Treasury bond. 10/22 at 5:22am PST
</t>
        </r>
      </text>
    </comment>
    <comment ref="F106" authorId="0" shapeId="0" xr:uid="{743EBD20-5569-4E91-8399-E556E44676FC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Implied equity risk premium updated 10/1/2020. Source: Damodaran trailing 12-month, adjusted for payout)</t>
        </r>
      </text>
    </comment>
    <comment ref="D125" authorId="0" shapeId="0" xr:uid="{A0E43654-4D78-49D2-BB10-87BE57495C4E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Full indsutry average (taken from Damodaran website) Retail (online)
</t>
        </r>
      </text>
    </comment>
  </commentList>
</comments>
</file>

<file path=xl/sharedStrings.xml><?xml version="1.0" encoding="utf-8"?>
<sst xmlns="http://schemas.openxmlformats.org/spreadsheetml/2006/main" count="531" uniqueCount="273">
  <si>
    <t>SG&amp;A expenses (as % of revenues)</t>
  </si>
  <si>
    <t>COGS (as % of revenues)</t>
  </si>
  <si>
    <t>Sales Growth</t>
  </si>
  <si>
    <t>Step</t>
  </si>
  <si>
    <t>Terminal growth rate</t>
  </si>
  <si>
    <t>Terminal Value - Perpetuity Growth</t>
  </si>
  <si>
    <t>Non-cash NWC as a % of Sale</t>
  </si>
  <si>
    <t>Projected</t>
  </si>
  <si>
    <t>Historical</t>
  </si>
  <si>
    <t>Change in NWC</t>
  </si>
  <si>
    <t>Non-cash Net Working Capital</t>
  </si>
  <si>
    <t>Total non-debt current liabilities</t>
  </si>
  <si>
    <t>Total current liabilities</t>
  </si>
  <si>
    <t>Total non-cash current assets</t>
  </si>
  <si>
    <t>Short-term investments</t>
  </si>
  <si>
    <t>Cash &amp; cash equivalents</t>
  </si>
  <si>
    <t>Total current assets</t>
  </si>
  <si>
    <t>WORKING CAPITAL SCHEDULE</t>
  </si>
  <si>
    <t>Implied Equity Value per Share</t>
  </si>
  <si>
    <t>Diluted Shares Outstanding</t>
  </si>
  <si>
    <t>Implied Equity Value</t>
  </si>
  <si>
    <t>Net debt + Preferred stock + NCI</t>
  </si>
  <si>
    <t>Total Enterprise Value</t>
  </si>
  <si>
    <t>PV of Unlevered Free Cash Flows</t>
  </si>
  <si>
    <t>PV of Terminal Value</t>
  </si>
  <si>
    <t>WACC - current</t>
  </si>
  <si>
    <t>Terminal value</t>
  </si>
  <si>
    <t>Terminal year EBITDA multiple</t>
  </si>
  <si>
    <t>Terminal year EBITDA</t>
  </si>
  <si>
    <t>Unlevered FCF in terminal year</t>
  </si>
  <si>
    <t>Terminal Value - Exit Multiple</t>
  </si>
  <si>
    <t>TERMINAL VALUE AND EQUITY VALUE PER SHARE</t>
  </si>
  <si>
    <t>Gross margin</t>
  </si>
  <si>
    <t>Depreciation and amortization (as % of capex)</t>
  </si>
  <si>
    <t>Capex (as % of revenues)</t>
  </si>
  <si>
    <t>Assumptions</t>
  </si>
  <si>
    <t>Unlevered free cash flows</t>
  </si>
  <si>
    <t>Change in Net Working Capital</t>
  </si>
  <si>
    <t>Capex</t>
  </si>
  <si>
    <t>Depreciation and amortization</t>
  </si>
  <si>
    <t>Tax-effected EBIT</t>
  </si>
  <si>
    <t>Taxes</t>
  </si>
  <si>
    <t>EBIT</t>
  </si>
  <si>
    <t>Selling, general &amp; administrative expenses</t>
  </si>
  <si>
    <t>Gross Profit</t>
  </si>
  <si>
    <t>Cost of goods sold</t>
  </si>
  <si>
    <t>FORECASTING CASH FLOWS</t>
  </si>
  <si>
    <t>Stitch Fix (SFIX) DISCOUNTED CASH FLOWS MODEL</t>
  </si>
  <si>
    <t>Powered by Clearbit</t>
  </si>
  <si>
    <t>Stitch Fix Inc (NMS: SFIX)</t>
  </si>
  <si>
    <t xml:space="preserve">Exchange rate used is that of the Year End reported date </t>
  </si>
  <si>
    <t xml:space="preserve">As Reported Annual Income Statement </t>
  </si>
  <si>
    <t>Report Date</t>
  </si>
  <si>
    <t>08/01/2020</t>
  </si>
  <si>
    <t>08/03/2019</t>
  </si>
  <si>
    <t>07/28/2018</t>
  </si>
  <si>
    <t>07/29/2017</t>
  </si>
  <si>
    <t>07/30/2016</t>
  </si>
  <si>
    <t>Currency</t>
  </si>
  <si>
    <t>USD</t>
  </si>
  <si>
    <t>Audit Status</t>
  </si>
  <si>
    <t>Not Qualified</t>
  </si>
  <si>
    <t>Consolidated</t>
  </si>
  <si>
    <t>Yes</t>
  </si>
  <si>
    <t>Scale</t>
  </si>
  <si>
    <t>Thousands</t>
  </si>
  <si>
    <t>Revenue, net</t>
  </si>
  <si>
    <t>Gross profit</t>
  </si>
  <si>
    <t>Operating income (loss)</t>
  </si>
  <si>
    <t>Remeasurement of preferred stock warrant liability</t>
  </si>
  <si>
    <t>-</t>
  </si>
  <si>
    <t>Interest income</t>
  </si>
  <si>
    <t>Other income, net</t>
  </si>
  <si>
    <t>Income (loss) before income taxes - United States</t>
  </si>
  <si>
    <t>Income (loss) before income taxes - Foreign</t>
  </si>
  <si>
    <t>Income (loss) before income taxes</t>
  </si>
  <si>
    <t>Current federal provision (benefit) for income taxes</t>
  </si>
  <si>
    <t>Current state provision (benefit) for income taxes</t>
  </si>
  <si>
    <t>Current foreign provision (benefit) for income taxes</t>
  </si>
  <si>
    <t>Total current provision (benefit) for income taxes</t>
  </si>
  <si>
    <t>Deferred federal provision (benefit) for income taxes</t>
  </si>
  <si>
    <t>Deferred state provision (benefit) for income taxes</t>
  </si>
  <si>
    <t>Deferred foreign provision (benefit) for income taxes</t>
  </si>
  <si>
    <t>Total deferred provision (benefit) for income taxes</t>
  </si>
  <si>
    <t>Provision for income taxes</t>
  </si>
  <si>
    <t>Net income (loss) &amp; comprehensive income (loss)</t>
  </si>
  <si>
    <t>Less: noncumulative dividends to preferred stockholders</t>
  </si>
  <si>
    <t>Less: undistributed earnings to participating securities</t>
  </si>
  <si>
    <t>Net income (loss) attributable to common stockholders</t>
  </si>
  <si>
    <t>Weighted average shares outstanding - basic</t>
  </si>
  <si>
    <t>Weighted average shares outstanding - diluted</t>
  </si>
  <si>
    <t>Year end shares outstanding</t>
  </si>
  <si>
    <t>Net earnings (loss) per share - basic</t>
  </si>
  <si>
    <t>Net earnings (loss) per share - diluted</t>
  </si>
  <si>
    <t>Total number of employees</t>
  </si>
  <si>
    <t>Number of common stockholders</t>
  </si>
  <si>
    <t>Foreign currency translation adjustments</t>
  </si>
  <si>
    <t xml:space="preserve">As Reported Annual Balance Sheet </t>
  </si>
  <si>
    <t>Cash</t>
  </si>
  <si>
    <t>Restricted cash</t>
  </si>
  <si>
    <t>Inventory, net</t>
  </si>
  <si>
    <t>Prepaid expenses &amp; other current assets</t>
  </si>
  <si>
    <t>Long-term investments</t>
  </si>
  <si>
    <t>Computer equipment</t>
  </si>
  <si>
    <t>Office furniture &amp; equipment</t>
  </si>
  <si>
    <t>Leasehold improvements</t>
  </si>
  <si>
    <t>Capitalized software</t>
  </si>
  <si>
    <t>Construction in progress</t>
  </si>
  <si>
    <t>Building &amp; land</t>
  </si>
  <si>
    <t>Total property &amp; equipment, gross</t>
  </si>
  <si>
    <t>Less accumulated depreciation &amp; amortization</t>
  </si>
  <si>
    <t>Property &amp; equipment, net</t>
  </si>
  <si>
    <t>Operating lease right-of-use assets</t>
  </si>
  <si>
    <t>Deferred tax assets</t>
  </si>
  <si>
    <t>Restricted cash, net of current portion</t>
  </si>
  <si>
    <t>Other long-term assets</t>
  </si>
  <si>
    <t>Total assets</t>
  </si>
  <si>
    <t>Accounts payable</t>
  </si>
  <si>
    <t>Operating lease liabilities</t>
  </si>
  <si>
    <t>Compensation &amp; related benefits</t>
  </si>
  <si>
    <t>Advertising</t>
  </si>
  <si>
    <t>Sales taxes</t>
  </si>
  <si>
    <t>Shipping &amp; freight</t>
  </si>
  <si>
    <t>Accrued accounts payable</t>
  </si>
  <si>
    <t>Inventory purchases</t>
  </si>
  <si>
    <t>Property &amp; equipment</t>
  </si>
  <si>
    <t>Other accrued liabilities</t>
  </si>
  <si>
    <t>Accrued liabilities</t>
  </si>
  <si>
    <t>Preferred stock warrant liability</t>
  </si>
  <si>
    <t>Gift card liability</t>
  </si>
  <si>
    <t>Deferred revenue</t>
  </si>
  <si>
    <t>Other current liabilities</t>
  </si>
  <si>
    <t>Operating lease liabilities, net of current portion</t>
  </si>
  <si>
    <t>Deferred rent, net of current portion</t>
  </si>
  <si>
    <t>Other long-term liabilities</t>
  </si>
  <si>
    <t>Total liabilities</t>
  </si>
  <si>
    <t>Convertible preferred stock</t>
  </si>
  <si>
    <t>Class A common stock</t>
  </si>
  <si>
    <t>Class B common stock</t>
  </si>
  <si>
    <t>Common stock</t>
  </si>
  <si>
    <t>Additional paid-in capital</t>
  </si>
  <si>
    <t>Accumulated other comprehensive income (loss)</t>
  </si>
  <si>
    <t>Retained earnings (accumulated deficit)</t>
  </si>
  <si>
    <t>Total stockholders' equity</t>
  </si>
  <si>
    <t xml:space="preserve">As Reported Annual Cash Flow </t>
  </si>
  <si>
    <t>Net income (loss)</t>
  </si>
  <si>
    <t>Deferred income taxes</t>
  </si>
  <si>
    <t>Deferred tax assets valuation allowance</t>
  </si>
  <si>
    <t>Inventory reserves</t>
  </si>
  <si>
    <t>Compensation expense related to certain stock sales by current &amp; former employees</t>
  </si>
  <si>
    <t>Stock-based compensation expense</t>
  </si>
  <si>
    <t>Excess tax benefit related to stock-based compensation expense</t>
  </si>
  <si>
    <t>Depreciation &amp; amortization expense</t>
  </si>
  <si>
    <t>Loss on disposal of property &amp; equipment</t>
  </si>
  <si>
    <t>Inventory</t>
  </si>
  <si>
    <t>Prepaid expenses &amp; other assets</t>
  </si>
  <si>
    <t>Operating lease right-of-use assets &amp; liabilities</t>
  </si>
  <si>
    <t>Other liabilities</t>
  </si>
  <si>
    <t>Net cash flows from operating activities</t>
  </si>
  <si>
    <t>Purchases of property &amp; equipment</t>
  </si>
  <si>
    <t>Purchases of securities available-for-sale</t>
  </si>
  <si>
    <t>Sales of securities available-for-sale</t>
  </si>
  <si>
    <t>Maturities of securities available-for-sale</t>
  </si>
  <si>
    <t>Proceeds from sale of property &amp; equipment</t>
  </si>
  <si>
    <t>Net cash flows from investing activities</t>
  </si>
  <si>
    <t>Proceeds from initial public offering, net of underwriting discounts paid</t>
  </si>
  <si>
    <t>Proceeds from the exercise of stock options, net</t>
  </si>
  <si>
    <t>Payments for tax withholding related to vesting of restricted stock units</t>
  </si>
  <si>
    <t>Repurchase of Class B common stock related to early exercised options</t>
  </si>
  <si>
    <t>Issuance costs on revolving credit facility</t>
  </si>
  <si>
    <t>Payment of deferred offering costs</t>
  </si>
  <si>
    <t>Net cash flows from financing activities</t>
  </si>
  <si>
    <t>Net increase (decrease) in cash, cash equivalents, &amp; restricted cash</t>
  </si>
  <si>
    <t>Effect of exchange rate changes on cash</t>
  </si>
  <si>
    <t>Cash, cash equivalents, &amp; restricted cash at beginning of period</t>
  </si>
  <si>
    <t>Cash, cash equivalents, &amp; restricted cash at end of period</t>
  </si>
  <si>
    <t>Cash paid for income taxes</t>
  </si>
  <si>
    <t>Fiscal year ends in July USD in thousands except per share data.</t>
  </si>
  <si>
    <t>FOR DCF MODEL</t>
  </si>
  <si>
    <t>x</t>
  </si>
  <si>
    <t>DILUTED SHARES</t>
  </si>
  <si>
    <t>Treasury with a Twist- Exercisable Options</t>
  </si>
  <si>
    <t>Treasury Method- All Outstanding Options</t>
  </si>
  <si>
    <t>Basic share count</t>
  </si>
  <si>
    <t>Exercisable options</t>
  </si>
  <si>
    <t>Oustanding options</t>
  </si>
  <si>
    <t>Exercise price</t>
  </si>
  <si>
    <t>Current share price</t>
  </si>
  <si>
    <t>In-the-money exercisable options</t>
  </si>
  <si>
    <t>Total proceeds</t>
  </si>
  <si>
    <t>Total shares repurchased</t>
  </si>
  <si>
    <t>Diluted shares outstanding</t>
  </si>
  <si>
    <t>WACC</t>
  </si>
  <si>
    <t>Current</t>
  </si>
  <si>
    <t>Percent of Capital</t>
  </si>
  <si>
    <t>Total debt</t>
  </si>
  <si>
    <t>Share price</t>
  </si>
  <si>
    <t>Market value of equity</t>
  </si>
  <si>
    <t>Weight of debt</t>
  </si>
  <si>
    <t>Weight of equity</t>
  </si>
  <si>
    <t>Cost of debt</t>
  </si>
  <si>
    <t>Pre-tax cost of debt</t>
  </si>
  <si>
    <t>Marginal tax rate</t>
  </si>
  <si>
    <t>Cost of equity</t>
  </si>
  <si>
    <t>Risk-free rate</t>
  </si>
  <si>
    <t>Market risk premium (Rm - Rf)</t>
  </si>
  <si>
    <t>Beta</t>
  </si>
  <si>
    <t>Weighted average cost of capital</t>
  </si>
  <si>
    <t>BOTTOM UP BETA</t>
  </si>
  <si>
    <t>MV</t>
  </si>
  <si>
    <t>Book Value</t>
  </si>
  <si>
    <t>Debt/</t>
  </si>
  <si>
    <t>Reg</t>
  </si>
  <si>
    <t>Unlevered</t>
  </si>
  <si>
    <t xml:space="preserve">Marginal </t>
  </si>
  <si>
    <t>Company</t>
  </si>
  <si>
    <t>Equity</t>
  </si>
  <si>
    <t>Debt</t>
  </si>
  <si>
    <t>Tax Rate</t>
  </si>
  <si>
    <t>Average unlevered beta</t>
  </si>
  <si>
    <t>Average unlevered beta (Full industry)</t>
  </si>
  <si>
    <t>SENSITIVITY ANALYSIS</t>
  </si>
  <si>
    <t>SFIX Debt/Equity ratio</t>
  </si>
  <si>
    <t>SFIX Tax Rate</t>
  </si>
  <si>
    <t>SFIX Levered Beta</t>
  </si>
  <si>
    <t>OSTK</t>
  </si>
  <si>
    <t>ETSY</t>
  </si>
  <si>
    <t>Overstock.com Inc.</t>
  </si>
  <si>
    <t>Etsy, Inc</t>
  </si>
  <si>
    <t>Farfetch Limited</t>
  </si>
  <si>
    <t>FTCH</t>
  </si>
  <si>
    <t>Lululemon athletica</t>
  </si>
  <si>
    <t>LULU</t>
  </si>
  <si>
    <t>Duluth Holdings</t>
  </si>
  <si>
    <t>DLTH</t>
  </si>
  <si>
    <t>Option Drag</t>
  </si>
  <si>
    <t>Implied Equity Value (Using TV)</t>
  </si>
  <si>
    <t>Basic Shares</t>
  </si>
  <si>
    <t>Value of Options</t>
  </si>
  <si>
    <t>Treasury Outstanding Options</t>
  </si>
  <si>
    <t>Total Proceeds</t>
  </si>
  <si>
    <t>Valuing Options or Warrants</t>
  </si>
  <si>
    <t>Enter the current stock price =</t>
  </si>
  <si>
    <t>Enter the strike price on the option =</t>
  </si>
  <si>
    <t>Enter the expiration of the option =</t>
  </si>
  <si>
    <t>Enter the standard deviation in stock prices =</t>
  </si>
  <si>
    <t>(volatility)</t>
  </si>
  <si>
    <t>Enter the annualized dividend yield on stock =</t>
  </si>
  <si>
    <t>Enter the treasury bond rate =</t>
  </si>
  <si>
    <t>Enter the number of options outstanding =</t>
  </si>
  <si>
    <t>Enter the number of shares outstanding =</t>
  </si>
  <si>
    <t>Circuit Breaker</t>
  </si>
  <si>
    <t>OFF</t>
  </si>
  <si>
    <t>Do not input any numbers below this line</t>
  </si>
  <si>
    <t>VALUING WARRANTS WHEN THERE IS DILUTION</t>
  </si>
  <si>
    <t>Stock Price=</t>
  </si>
  <si>
    <t># Warrants issued=</t>
  </si>
  <si>
    <t>Strike Price=</t>
  </si>
  <si>
    <t># Shares outstanding=</t>
  </si>
  <si>
    <t>Adjusted S =</t>
  </si>
  <si>
    <t>T.Bond rate=</t>
  </si>
  <si>
    <t>Adjusted K =</t>
  </si>
  <si>
    <t>Variance=</t>
  </si>
  <si>
    <t>Expiration (in years) =</t>
  </si>
  <si>
    <t>Annualized dividend yield=</t>
  </si>
  <si>
    <t>Div. Adj. interest rate=</t>
  </si>
  <si>
    <t xml:space="preserve">d1 = </t>
  </si>
  <si>
    <t>N (d1) =</t>
  </si>
  <si>
    <t xml:space="preserve">d2 = </t>
  </si>
  <si>
    <t>N (d2) =</t>
  </si>
  <si>
    <t xml:space="preserve">Value per option = </t>
  </si>
  <si>
    <t>Value of all options outstanding =</t>
  </si>
  <si>
    <t>Unvested RSUs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</si>
</sst>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%_);\(0.0%\)"/>
    <numFmt numFmtId="166" formatCode="#,##0.0_);\(#,##0.0\)"/>
    <numFmt numFmtId="167" formatCode="0.0\x"/>
    <numFmt numFmtId="168" formatCode="0&quot;A&quot;"/>
    <numFmt numFmtId="169" formatCode="0&quot;E&quot;"/>
    <numFmt numFmtId="170" formatCode="0.000"/>
    <numFmt numFmtId="171" formatCode="0.0%"/>
    <numFmt numFmtId="172" formatCode="[$-409]d\-mmm\-yy;@"/>
    <numFmt numFmtId="173" formatCode="#,##0.0000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sz val="11"/>
      <color rgb="FF00B050"/>
      <name val="Times New Roman"/>
      <family val="1"/>
    </font>
    <font>
      <i/>
      <sz val="11"/>
      <color theme="1"/>
      <name val="Times New Roman"/>
      <family val="1"/>
    </font>
    <font>
      <sz val="8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4"/>
      <name val="Times"/>
      <family val="1"/>
    </font>
    <font>
      <b/>
      <sz val="14"/>
      <name val="Geneva"/>
      <family val="2"/>
    </font>
    <font>
      <sz val="10"/>
      <name val="Times"/>
      <family val="1"/>
    </font>
    <font>
      <sz val="10"/>
      <color theme="4"/>
      <name val="Times"/>
      <family val="1"/>
    </font>
    <font>
      <b/>
      <i/>
      <sz val="10"/>
      <name val="Times"/>
      <family val="1"/>
    </font>
    <font>
      <i/>
      <sz val="10"/>
      <name val="Times"/>
      <family val="1"/>
    </font>
    <font>
      <i/>
      <sz val="10"/>
      <name val="Geneva"/>
      <family val="2"/>
    </font>
    <font>
      <b/>
      <sz val="10"/>
      <name val="Times"/>
      <family val="1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 applyFill="0"/>
    <xf numFmtId="0" fontId="2" fillId="0" borderId="0"/>
    <xf numFmtId="0" fontId="1" fillId="0" borderId="0"/>
    <xf numFmtId="0" fontId="19" fillId="0" borderId="0" applyFill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1" applyFont="1"/>
    <xf numFmtId="166" fontId="3" fillId="0" borderId="0" xfId="1" applyNumberFormat="1" applyFont="1"/>
    <xf numFmtId="0" fontId="6" fillId="0" borderId="0" xfId="1" applyFont="1"/>
    <xf numFmtId="0" fontId="9" fillId="2" borderId="0" xfId="1" applyFont="1" applyFill="1" applyAlignment="1">
      <alignment horizontal="centerContinuous"/>
    </xf>
    <xf numFmtId="0" fontId="10" fillId="2" borderId="0" xfId="1" applyFont="1" applyFill="1" applyAlignment="1">
      <alignment horizontal="centerContinuous"/>
    </xf>
    <xf numFmtId="165" fontId="3" fillId="0" borderId="0" xfId="1" applyNumberFormat="1" applyFont="1"/>
    <xf numFmtId="165" fontId="7" fillId="0" borderId="0" xfId="1" applyNumberFormat="1" applyFont="1"/>
    <xf numFmtId="0" fontId="3" fillId="0" borderId="2" xfId="1" applyFont="1" applyBorder="1"/>
    <xf numFmtId="0" fontId="3" fillId="0" borderId="4" xfId="1" applyFont="1" applyBorder="1"/>
    <xf numFmtId="166" fontId="3" fillId="0" borderId="5" xfId="1" applyNumberFormat="1" applyFont="1" applyBorder="1"/>
    <xf numFmtId="0" fontId="3" fillId="0" borderId="0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6" fillId="0" borderId="9" xfId="1" applyFont="1" applyBorder="1"/>
    <xf numFmtId="165" fontId="3" fillId="0" borderId="5" xfId="1" applyNumberFormat="1" applyFont="1" applyBorder="1"/>
    <xf numFmtId="0" fontId="6" fillId="0" borderId="0" xfId="1" applyFont="1" applyAlignment="1">
      <alignment horizontal="center"/>
    </xf>
    <xf numFmtId="0" fontId="6" fillId="0" borderId="7" xfId="1" applyFont="1" applyBorder="1" applyAlignment="1">
      <alignment horizontal="center"/>
    </xf>
    <xf numFmtId="168" fontId="4" fillId="0" borderId="0" xfId="1" applyNumberFormat="1" applyFont="1" applyAlignment="1">
      <alignment horizontal="center"/>
    </xf>
    <xf numFmtId="0" fontId="6" fillId="0" borderId="10" xfId="1" applyFont="1" applyBorder="1" applyAlignment="1">
      <alignment horizontal="centerContinuous"/>
    </xf>
    <xf numFmtId="0" fontId="6" fillId="0" borderId="1" xfId="1" applyFont="1" applyBorder="1" applyAlignment="1">
      <alignment horizontal="centerContinuous"/>
    </xf>
    <xf numFmtId="0" fontId="6" fillId="0" borderId="11" xfId="1" applyFont="1" applyBorder="1" applyAlignment="1">
      <alignment horizontal="centerContinuous"/>
    </xf>
    <xf numFmtId="164" fontId="3" fillId="0" borderId="0" xfId="1" applyNumberFormat="1" applyFont="1"/>
    <xf numFmtId="0" fontId="6" fillId="0" borderId="0" xfId="1" applyFont="1" applyBorder="1"/>
    <xf numFmtId="166" fontId="11" fillId="0" borderId="5" xfId="1" applyNumberFormat="1" applyFont="1" applyBorder="1"/>
    <xf numFmtId="5" fontId="3" fillId="0" borderId="0" xfId="1" applyNumberFormat="1" applyFont="1"/>
    <xf numFmtId="9" fontId="3" fillId="0" borderId="0" xfId="1" applyNumberFormat="1" applyFont="1"/>
    <xf numFmtId="164" fontId="3" fillId="0" borderId="3" xfId="1" applyNumberFormat="1" applyFont="1" applyBorder="1"/>
    <xf numFmtId="166" fontId="8" fillId="0" borderId="5" xfId="1" applyNumberFormat="1" applyFont="1" applyBorder="1"/>
    <xf numFmtId="165" fontId="8" fillId="0" borderId="5" xfId="1" applyNumberFormat="1" applyFont="1" applyBorder="1"/>
    <xf numFmtId="167" fontId="7" fillId="0" borderId="5" xfId="1" applyNumberFormat="1" applyFont="1" applyBorder="1"/>
    <xf numFmtId="165" fontId="7" fillId="0" borderId="5" xfId="1" applyNumberFormat="1" applyFont="1" applyBorder="1"/>
    <xf numFmtId="166" fontId="7" fillId="0" borderId="0" xfId="1" applyNumberFormat="1" applyFont="1"/>
    <xf numFmtId="166" fontId="3" fillId="0" borderId="0" xfId="1" applyNumberFormat="1" applyFont="1" applyBorder="1"/>
    <xf numFmtId="0" fontId="4" fillId="0" borderId="0" xfId="1" applyFont="1" applyAlignment="1">
      <alignment horizontal="center"/>
    </xf>
    <xf numFmtId="166" fontId="8" fillId="0" borderId="0" xfId="1" applyNumberFormat="1" applyFont="1"/>
    <xf numFmtId="0" fontId="3" fillId="0" borderId="0" xfId="1" applyFont="1" applyFill="1" applyBorder="1"/>
    <xf numFmtId="166" fontId="8" fillId="0" borderId="0" xfId="1" applyNumberFormat="1" applyFont="1" applyBorder="1"/>
    <xf numFmtId="9" fontId="7" fillId="0" borderId="0" xfId="1" applyNumberFormat="1" applyFont="1" applyBorder="1"/>
    <xf numFmtId="0" fontId="6" fillId="0" borderId="8" xfId="1" applyFont="1" applyBorder="1"/>
    <xf numFmtId="166" fontId="11" fillId="0" borderId="0" xfId="1" applyNumberFormat="1" applyFont="1"/>
    <xf numFmtId="169" fontId="6" fillId="0" borderId="8" xfId="1" applyNumberFormat="1" applyFont="1" applyBorder="1" applyAlignment="1">
      <alignment horizontal="center"/>
    </xf>
    <xf numFmtId="168" fontId="6" fillId="0" borderId="7" xfId="1" applyNumberFormat="1" applyFont="1" applyBorder="1" applyAlignment="1">
      <alignment horizontal="center"/>
    </xf>
    <xf numFmtId="168" fontId="6" fillId="0" borderId="8" xfId="1" applyNumberFormat="1" applyFont="1" applyBorder="1" applyAlignment="1">
      <alignment horizontal="center"/>
    </xf>
    <xf numFmtId="168" fontId="5" fillId="0" borderId="8" xfId="1" applyNumberFormat="1" applyFont="1" applyBorder="1" applyAlignment="1">
      <alignment horizontal="center"/>
    </xf>
    <xf numFmtId="0" fontId="12" fillId="0" borderId="0" xfId="1" applyFont="1"/>
    <xf numFmtId="0" fontId="6" fillId="0" borderId="0" xfId="1" applyFont="1" applyFill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Alignment="1">
      <alignment horizontal="right"/>
    </xf>
    <xf numFmtId="170" fontId="0" fillId="0" borderId="0" xfId="0" applyNumberFormat="1"/>
    <xf numFmtId="2" fontId="0" fillId="0" borderId="0" xfId="0" applyNumberFormat="1"/>
    <xf numFmtId="0" fontId="0" fillId="0" borderId="0" xfId="0" applyFont="1" applyAlignment="1">
      <alignment horizontal="left"/>
    </xf>
    <xf numFmtId="42" fontId="11" fillId="0" borderId="0" xfId="1" applyNumberFormat="1" applyFont="1" applyBorder="1"/>
    <xf numFmtId="42" fontId="11" fillId="0" borderId="5" xfId="1" applyNumberFormat="1" applyFont="1" applyBorder="1"/>
    <xf numFmtId="37" fontId="11" fillId="0" borderId="0" xfId="1" applyNumberFormat="1" applyFont="1"/>
    <xf numFmtId="37" fontId="11" fillId="0" borderId="5" xfId="1" applyNumberFormat="1" applyFont="1" applyBorder="1"/>
    <xf numFmtId="37" fontId="4" fillId="0" borderId="0" xfId="1" applyNumberFormat="1" applyFont="1" applyBorder="1"/>
    <xf numFmtId="37" fontId="4" fillId="0" borderId="5" xfId="1" applyNumberFormat="1" applyFont="1" applyBorder="1"/>
    <xf numFmtId="37" fontId="11" fillId="0" borderId="2" xfId="1" applyNumberFormat="1" applyFont="1" applyBorder="1"/>
    <xf numFmtId="37" fontId="11" fillId="0" borderId="3" xfId="1" applyNumberFormat="1" applyFont="1" applyBorder="1"/>
    <xf numFmtId="37" fontId="8" fillId="0" borderId="0" xfId="1" applyNumberFormat="1" applyFont="1" applyBorder="1"/>
    <xf numFmtId="37" fontId="8" fillId="0" borderId="8" xfId="1" applyNumberFormat="1" applyFont="1" applyBorder="1"/>
    <xf numFmtId="37" fontId="4" fillId="0" borderId="7" xfId="1" applyNumberFormat="1" applyFont="1" applyBorder="1"/>
    <xf numFmtId="37" fontId="8" fillId="0" borderId="5" xfId="1" applyNumberFormat="1" applyFont="1" applyBorder="1"/>
    <xf numFmtId="37" fontId="8" fillId="0" borderId="7" xfId="1" applyNumberFormat="1" applyFont="1" applyBorder="1"/>
    <xf numFmtId="37" fontId="8" fillId="0" borderId="4" xfId="1" applyNumberFormat="1" applyFont="1" applyBorder="1"/>
    <xf numFmtId="171" fontId="3" fillId="0" borderId="0" xfId="1" applyNumberFormat="1" applyFont="1"/>
    <xf numFmtId="37" fontId="11" fillId="0" borderId="0" xfId="1" applyNumberFormat="1" applyFont="1" applyBorder="1"/>
    <xf numFmtId="37" fontId="3" fillId="0" borderId="0" xfId="1" applyNumberFormat="1" applyFont="1"/>
    <xf numFmtId="37" fontId="3" fillId="0" borderId="5" xfId="1" applyNumberFormat="1" applyFont="1" applyBorder="1"/>
    <xf numFmtId="0" fontId="12" fillId="0" borderId="0" xfId="1" applyFont="1" applyFill="1"/>
    <xf numFmtId="0" fontId="3" fillId="0" borderId="0" xfId="1" applyFont="1" applyFill="1"/>
    <xf numFmtId="0" fontId="6" fillId="0" borderId="8" xfId="1" applyFont="1" applyFill="1" applyBorder="1"/>
    <xf numFmtId="0" fontId="3" fillId="0" borderId="8" xfId="1" applyFont="1" applyFill="1" applyBorder="1"/>
    <xf numFmtId="0" fontId="6" fillId="0" borderId="0" xfId="1" applyFont="1" applyFill="1" applyBorder="1"/>
    <xf numFmtId="42" fontId="3" fillId="0" borderId="0" xfId="1" applyNumberFormat="1" applyFont="1"/>
    <xf numFmtId="42" fontId="3" fillId="0" borderId="5" xfId="1" applyNumberFormat="1" applyFont="1" applyBorder="1"/>
    <xf numFmtId="42" fontId="4" fillId="0" borderId="0" xfId="1" applyNumberFormat="1" applyFont="1" applyBorder="1"/>
    <xf numFmtId="42" fontId="4" fillId="0" borderId="5" xfId="1" applyNumberFormat="1" applyFont="1" applyBorder="1"/>
    <xf numFmtId="0" fontId="10" fillId="2" borderId="0" xfId="2" applyFont="1" applyFill="1" applyAlignment="1">
      <alignment horizontal="centerContinuous"/>
    </xf>
    <xf numFmtId="0" fontId="9" fillId="2" borderId="0" xfId="2" applyFont="1" applyFill="1" applyAlignment="1">
      <alignment horizontal="centerContinuous"/>
    </xf>
    <xf numFmtId="0" fontId="0" fillId="0" borderId="0" xfId="0" applyFill="1"/>
    <xf numFmtId="0" fontId="6" fillId="0" borderId="9" xfId="2" applyFont="1" applyBorder="1"/>
    <xf numFmtId="0" fontId="3" fillId="0" borderId="8" xfId="2" applyFont="1" applyBorder="1"/>
    <xf numFmtId="0" fontId="3" fillId="0" borderId="7" xfId="2" applyFont="1" applyBorder="1"/>
    <xf numFmtId="0" fontId="3" fillId="0" borderId="6" xfId="2" applyFont="1" applyBorder="1"/>
    <xf numFmtId="0" fontId="3" fillId="0" borderId="0" xfId="2" applyFont="1"/>
    <xf numFmtId="0" fontId="0" fillId="0" borderId="5" xfId="0" applyBorder="1"/>
    <xf numFmtId="0" fontId="3" fillId="0" borderId="4" xfId="2" applyFont="1" applyBorder="1"/>
    <xf numFmtId="0" fontId="3" fillId="0" borderId="2" xfId="2" applyFont="1" applyBorder="1"/>
    <xf numFmtId="164" fontId="3" fillId="0" borderId="3" xfId="2" applyNumberFormat="1" applyFont="1" applyBorder="1"/>
    <xf numFmtId="0" fontId="10" fillId="0" borderId="0" xfId="1" applyFont="1" applyAlignment="1">
      <alignment horizontal="centerContinuous"/>
    </xf>
    <xf numFmtId="0" fontId="9" fillId="0" borderId="0" xfId="1" applyFont="1" applyAlignment="1">
      <alignment horizontal="centerContinuous"/>
    </xf>
    <xf numFmtId="0" fontId="6" fillId="0" borderId="0" xfId="0" applyFont="1"/>
    <xf numFmtId="0" fontId="8" fillId="0" borderId="0" xfId="0" applyFont="1"/>
    <xf numFmtId="0" fontId="3" fillId="0" borderId="0" xfId="0" applyFont="1"/>
    <xf numFmtId="0" fontId="8" fillId="0" borderId="0" xfId="0" quotePrefix="1" applyFont="1"/>
    <xf numFmtId="165" fontId="16" fillId="0" borderId="0" xfId="1" applyNumberFormat="1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2" xfId="0" applyFont="1" applyBorder="1"/>
    <xf numFmtId="172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6" fontId="7" fillId="0" borderId="0" xfId="0" applyNumberFormat="1" applyFont="1"/>
    <xf numFmtId="166" fontId="7" fillId="0" borderId="0" xfId="0" applyNumberFormat="1" applyFont="1" applyFill="1"/>
    <xf numFmtId="2" fontId="3" fillId="0" borderId="0" xfId="0" applyNumberFormat="1" applyFont="1"/>
    <xf numFmtId="39" fontId="7" fillId="0" borderId="0" xfId="0" applyNumberFormat="1" applyFont="1" applyFill="1"/>
    <xf numFmtId="39" fontId="3" fillId="0" borderId="0" xfId="0" applyNumberFormat="1" applyFont="1"/>
    <xf numFmtId="171" fontId="7" fillId="0" borderId="0" xfId="0" applyNumberFormat="1" applyFont="1"/>
    <xf numFmtId="171" fontId="8" fillId="0" borderId="0" xfId="0" applyNumberFormat="1" applyFont="1"/>
    <xf numFmtId="166" fontId="3" fillId="0" borderId="0" xfId="0" applyNumberFormat="1" applyFont="1"/>
    <xf numFmtId="171" fontId="3" fillId="0" borderId="0" xfId="0" applyNumberFormat="1" applyFont="1"/>
    <xf numFmtId="39" fontId="6" fillId="0" borderId="0" xfId="0" applyNumberFormat="1" applyFont="1"/>
    <xf numFmtId="37" fontId="7" fillId="0" borderId="0" xfId="0" applyNumberFormat="1" applyFont="1"/>
    <xf numFmtId="37" fontId="7" fillId="0" borderId="0" xfId="0" applyNumberFormat="1" applyFont="1" applyFill="1"/>
    <xf numFmtId="39" fontId="16" fillId="0" borderId="0" xfId="0" applyNumberFormat="1" applyFont="1"/>
    <xf numFmtId="39" fontId="8" fillId="0" borderId="0" xfId="0" applyNumberFormat="1" applyFont="1"/>
    <xf numFmtId="37" fontId="16" fillId="0" borderId="0" xfId="1" applyNumberFormat="1" applyFont="1"/>
    <xf numFmtId="37" fontId="3" fillId="0" borderId="0" xfId="1" applyNumberFormat="1" applyFont="1" applyBorder="1"/>
    <xf numFmtId="37" fontId="6" fillId="0" borderId="0" xfId="1" applyNumberFormat="1" applyFont="1"/>
    <xf numFmtId="37" fontId="3" fillId="0" borderId="4" xfId="1" applyNumberFormat="1" applyFont="1" applyBorder="1"/>
    <xf numFmtId="37" fontId="4" fillId="0" borderId="8" xfId="1" applyNumberFormat="1" applyFont="1" applyBorder="1"/>
    <xf numFmtId="7" fontId="16" fillId="0" borderId="0" xfId="0" applyNumberFormat="1" applyFont="1"/>
    <xf numFmtId="0" fontId="3" fillId="0" borderId="5" xfId="1" applyFont="1" applyBorder="1"/>
    <xf numFmtId="8" fontId="3" fillId="0" borderId="5" xfId="1" applyNumberFormat="1" applyFont="1" applyBorder="1"/>
    <xf numFmtId="7" fontId="3" fillId="0" borderId="3" xfId="1" applyNumberFormat="1" applyFont="1" applyBorder="1"/>
    <xf numFmtId="0" fontId="20" fillId="0" borderId="0" xfId="3" applyFont="1"/>
    <xf numFmtId="0" fontId="21" fillId="0" borderId="0" xfId="3" applyFont="1"/>
    <xf numFmtId="0" fontId="22" fillId="0" borderId="0" xfId="3" applyFont="1"/>
    <xf numFmtId="0" fontId="19" fillId="0" borderId="0" xfId="3"/>
    <xf numFmtId="8" fontId="22" fillId="0" borderId="13" xfId="3" applyNumberFormat="1" applyFont="1" applyFill="1" applyBorder="1"/>
    <xf numFmtId="44" fontId="23" fillId="0" borderId="13" xfId="4" applyFont="1" applyFill="1" applyBorder="1"/>
    <xf numFmtId="10" fontId="23" fillId="0" borderId="13" xfId="5" applyNumberFormat="1" applyFont="1" applyFill="1" applyBorder="1"/>
    <xf numFmtId="10" fontId="23" fillId="0" borderId="13" xfId="3" applyNumberFormat="1" applyFont="1" applyFill="1" applyBorder="1"/>
    <xf numFmtId="4" fontId="22" fillId="0" borderId="0" xfId="3" applyNumberFormat="1" applyFont="1" applyFill="1"/>
    <xf numFmtId="0" fontId="22" fillId="0" borderId="13" xfId="3" applyFont="1" applyBorder="1"/>
    <xf numFmtId="0" fontId="24" fillId="0" borderId="0" xfId="3" applyFont="1"/>
    <xf numFmtId="0" fontId="25" fillId="0" borderId="0" xfId="3" applyFont="1"/>
    <xf numFmtId="0" fontId="26" fillId="0" borderId="0" xfId="3" applyFont="1"/>
    <xf numFmtId="0" fontId="27" fillId="0" borderId="0" xfId="3" applyFont="1"/>
    <xf numFmtId="0" fontId="27" fillId="0" borderId="13" xfId="3" applyFont="1" applyBorder="1"/>
    <xf numFmtId="10" fontId="27" fillId="0" borderId="0" xfId="3" applyNumberFormat="1" applyFont="1"/>
    <xf numFmtId="3" fontId="22" fillId="0" borderId="13" xfId="3" applyNumberFormat="1" applyFont="1" applyBorder="1"/>
    <xf numFmtId="10" fontId="27" fillId="0" borderId="13" xfId="3" applyNumberFormat="1" applyFont="1" applyBorder="1"/>
    <xf numFmtId="173" fontId="27" fillId="0" borderId="13" xfId="6" applyNumberFormat="1" applyFont="1" applyBorder="1"/>
    <xf numFmtId="10" fontId="22" fillId="0" borderId="13" xfId="3" applyNumberFormat="1" applyFont="1" applyBorder="1"/>
    <xf numFmtId="44" fontId="22" fillId="0" borderId="14" xfId="4" applyFont="1" applyBorder="1"/>
    <xf numFmtId="44" fontId="22" fillId="0" borderId="0" xfId="4" applyFont="1"/>
    <xf numFmtId="8" fontId="22" fillId="0" borderId="14" xfId="3" applyNumberFormat="1" applyFont="1" applyBorder="1"/>
    <xf numFmtId="0" fontId="3" fillId="0" borderId="0" xfId="2" applyFont="1" applyBorder="1"/>
    <xf numFmtId="8" fontId="28" fillId="0" borderId="5" xfId="0" applyNumberFormat="1" applyFont="1" applyBorder="1"/>
    <xf numFmtId="37" fontId="28" fillId="0" borderId="5" xfId="0" applyNumberFormat="1" applyFont="1" applyBorder="1"/>
    <xf numFmtId="37" fontId="0" fillId="0" borderId="5" xfId="0" applyNumberFormat="1" applyBorder="1"/>
    <xf numFmtId="37" fontId="23" fillId="0" borderId="13" xfId="3" applyNumberFormat="1" applyFont="1" applyFill="1" applyBorder="1"/>
    <xf numFmtId="37" fontId="22" fillId="0" borderId="13" xfId="3" applyNumberFormat="1" applyFont="1" applyFill="1" applyBorder="1"/>
    <xf numFmtId="166" fontId="23" fillId="0" borderId="13" xfId="3" applyNumberFormat="1" applyFont="1" applyFill="1" applyBorder="1"/>
  </cellXfs>
  <cellStyles count="7">
    <cellStyle name="Comma 2" xfId="6" xr:uid="{D979ED2F-151B-4772-8B8C-2E088FA99E31}"/>
    <cellStyle name="Currency 2" xfId="4" xr:uid="{A04F602C-C3ED-45DB-9A80-7BA11C7728BF}"/>
    <cellStyle name="Normal" xfId="0" builtinId="0"/>
    <cellStyle name="Normal 2" xfId="1" xr:uid="{00000000-0005-0000-0000-000001000000}"/>
    <cellStyle name="Normal 2 2" xfId="2" xr:uid="{5FEC7749-AEBE-4E08-A53F-6C060921FD52}"/>
    <cellStyle name="Normal 3" xfId="3" xr:uid="{2A2480C2-B865-44C7-A693-4DBD0F3EEF09}"/>
    <cellStyle name="Percent 2" xfId="5" xr:uid="{267E1D64-7A2B-49C9-B4F7-AA8DD0C5A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4C5FF4EB-D5A5-41A8-B4AE-6815F97F8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8FDB1086-1650-4A13-88D4-980EEF09E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205167F2-B5EA-44BB-8D7C-1192B48EA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Teaching/FNCE%203477/Gentex%20case%20study/2018S/10.%20Gentex_ValuationChart_Solution_2018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Moore/Dropbox/LMU_teaching/FNCE_3415/Fall_19/Gentex_Shares_Comple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ran13/Downloads/KKD_multi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NTX_Chart"/>
      <sheetName val="GNTX_DCF"/>
      <sheetName val="GNTX_Comps"/>
      <sheetName val="VC_LTM"/>
      <sheetName val="VC_IS"/>
      <sheetName val="VC_CF"/>
      <sheetName val="VC_BS"/>
      <sheetName val="THRM_LTM"/>
      <sheetName val="THRM_IS"/>
      <sheetName val="THRM_CF"/>
      <sheetName val="THRM_BS"/>
      <sheetName val="BWA_LTM"/>
      <sheetName val="BWA_IS"/>
      <sheetName val="BWA_CF"/>
      <sheetName val="BWA_BS"/>
      <sheetName val="AXL_LTM"/>
      <sheetName val="AXL_IS"/>
      <sheetName val="AXL_CF"/>
      <sheetName val="AXL_BS"/>
      <sheetName val="DAN_LTM"/>
      <sheetName val="DAN_IS"/>
      <sheetName val="DAN_CF"/>
      <sheetName val="DAN_BS"/>
      <sheetName val="LEA_LTM"/>
      <sheetName val="LEA_IS"/>
      <sheetName val="LEA_CF"/>
      <sheetName val="LEA_BS"/>
      <sheetName val="GNTX_LTM"/>
      <sheetName val="Gentex_IS"/>
      <sheetName val="Gentex_CF"/>
      <sheetName val="Gentex_BS"/>
      <sheetName val="RegBeta"/>
      <sheetName val="Gentex_BS_Vertical"/>
      <sheetName val="Gentex_IS_Vertical"/>
      <sheetName val="Gentex_IS_Horizontal"/>
      <sheetName val="Gentex_Ratios"/>
    </sheetNames>
    <sheetDataSet>
      <sheetData sheetId="0"/>
      <sheetData sheetId="1"/>
      <sheetData sheetId="2"/>
      <sheetData sheetId="3"/>
      <sheetData sheetId="4"/>
      <sheetData sheetId="5"/>
      <sheetData sheetId="6">
        <row r="109">
          <cell r="B109">
            <v>393</v>
          </cell>
        </row>
      </sheetData>
      <sheetData sheetId="7"/>
      <sheetData sheetId="8"/>
      <sheetData sheetId="9"/>
      <sheetData sheetId="10">
        <row r="78">
          <cell r="B78">
            <v>144.66900000000001</v>
          </cell>
        </row>
      </sheetData>
      <sheetData sheetId="11"/>
      <sheetData sheetId="12"/>
      <sheetData sheetId="13"/>
      <sheetData sheetId="14">
        <row r="111">
          <cell r="B111">
            <v>2188.2999999999997</v>
          </cell>
        </row>
      </sheetData>
      <sheetData sheetId="15"/>
      <sheetData sheetId="16"/>
      <sheetData sheetId="17"/>
      <sheetData sheetId="18">
        <row r="65">
          <cell r="B65">
            <v>3975.2000000000003</v>
          </cell>
        </row>
      </sheetData>
      <sheetData sheetId="19"/>
      <sheetData sheetId="20"/>
      <sheetData sheetId="21"/>
      <sheetData sheetId="22">
        <row r="94">
          <cell r="B94">
            <v>1799</v>
          </cell>
        </row>
      </sheetData>
      <sheetData sheetId="23"/>
      <sheetData sheetId="24"/>
      <sheetData sheetId="25"/>
      <sheetData sheetId="26">
        <row r="58">
          <cell r="B58">
            <v>1960.5</v>
          </cell>
        </row>
      </sheetData>
      <sheetData sheetId="27">
        <row r="11">
          <cell r="E11">
            <v>-644.27200000000005</v>
          </cell>
        </row>
        <row r="12">
          <cell r="E12">
            <v>0</v>
          </cell>
        </row>
        <row r="13">
          <cell r="E13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NTX_DCF"/>
      <sheetName val="Option_Value"/>
      <sheetName val="GNTX_IS"/>
      <sheetName val="GNTX_CF"/>
      <sheetName val="GNTX_B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_Perf"/>
      <sheetName val="KKD_IS_LY"/>
      <sheetName val="KKD_IS_LQ"/>
      <sheetName val="KKD_BS_LQ"/>
      <sheetName val="KKD_LTM"/>
      <sheetName val="Dunkin_BS_LY"/>
      <sheetName val="Dunkin_IS_LY"/>
      <sheetName val="Denny_BS_LQ"/>
      <sheetName val="Denny_IS_LY"/>
      <sheetName val="Denny_IS_LQ"/>
      <sheetName val="Denny_LTM"/>
      <sheetName val="Sonic_BS_LQ"/>
      <sheetName val="Sonic_IS_LY"/>
      <sheetName val="Sonic_IS_LQ"/>
      <sheetName val="Sonic_LTM"/>
      <sheetName val="Panera_BS_LY"/>
      <sheetName val="Panera_IS_LY"/>
      <sheetName val="DineEquity_BS_LQ"/>
      <sheetName val="DineEquity_IS_LY"/>
      <sheetName val="DineEquity_IS_LQ"/>
      <sheetName val="DineEquity_LTM"/>
      <sheetName val="RedRobin_BS_LY"/>
      <sheetName val="RedRobin_IS_LY"/>
    </sheetNames>
    <sheetDataSet>
      <sheetData sheetId="0"/>
      <sheetData sheetId="1"/>
      <sheetData sheetId="2"/>
      <sheetData sheetId="3"/>
      <sheetData sheetId="4">
        <row r="3">
          <cell r="B3">
            <v>37.268999999999998</v>
          </cell>
        </row>
      </sheetData>
      <sheetData sheetId="5">
        <row r="6">
          <cell r="E6">
            <v>68.782999999999973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30"/>
  <sheetViews>
    <sheetView showGridLines="0" tabSelected="1" topLeftCell="A31" zoomScale="85" zoomScaleNormal="85" workbookViewId="0">
      <selection activeCell="J42" sqref="J42"/>
    </sheetView>
  </sheetViews>
  <sheetFormatPr defaultColWidth="9.1796875" defaultRowHeight="14" outlineLevelRow="1"/>
  <cols>
    <col min="1" max="1" width="3.81640625" style="1" customWidth="1"/>
    <col min="2" max="2" width="30" style="1" customWidth="1"/>
    <col min="3" max="3" width="5.54296875" style="1" customWidth="1"/>
    <col min="4" max="4" width="8.54296875" style="1" customWidth="1"/>
    <col min="5" max="5" width="11.90625" style="1" bestFit="1" customWidth="1"/>
    <col min="6" max="6" width="11.26953125" style="1" customWidth="1"/>
    <col min="7" max="7" width="10.453125" style="1" bestFit="1" customWidth="1"/>
    <col min="8" max="8" width="11.453125" style="1" customWidth="1"/>
    <col min="9" max="9" width="11.90625" style="1" bestFit="1" customWidth="1"/>
    <col min="10" max="10" width="11" style="1" bestFit="1" customWidth="1"/>
    <col min="11" max="11" width="11.81640625" style="1" customWidth="1"/>
    <col min="12" max="15" width="11.90625" style="1" bestFit="1" customWidth="1"/>
    <col min="16" max="18" width="9.1796875" style="1"/>
    <col min="19" max="19" width="10.90625" style="1" bestFit="1" customWidth="1"/>
    <col min="20" max="16384" width="9.1796875" style="1"/>
  </cols>
  <sheetData>
    <row r="1" spans="1:15">
      <c r="B1" s="47" t="s">
        <v>47</v>
      </c>
    </row>
    <row r="2" spans="1:15">
      <c r="B2" s="78" t="s">
        <v>177</v>
      </c>
      <c r="D2" s="46"/>
      <c r="E2" s="46"/>
    </row>
    <row r="3" spans="1:15">
      <c r="B3" s="78"/>
      <c r="D3" s="46"/>
      <c r="E3" s="46"/>
    </row>
    <row r="4" spans="1:15">
      <c r="A4" s="1" t="s">
        <v>179</v>
      </c>
      <c r="B4" s="4" t="s">
        <v>46</v>
      </c>
      <c r="C4" s="4"/>
      <c r="D4" s="5"/>
      <c r="E4" s="5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B5" s="79"/>
      <c r="C5" s="46"/>
      <c r="D5" s="46"/>
      <c r="E5" s="46"/>
    </row>
    <row r="6" spans="1:15">
      <c r="B6" s="78"/>
      <c r="C6" s="46"/>
      <c r="D6" s="46"/>
      <c r="E6" s="46"/>
      <c r="F6" s="22" t="s">
        <v>8</v>
      </c>
      <c r="G6" s="21"/>
      <c r="H6" s="21"/>
      <c r="I6" s="21"/>
      <c r="J6" s="20"/>
      <c r="K6" s="22" t="s">
        <v>7</v>
      </c>
      <c r="L6" s="21"/>
      <c r="M6" s="21"/>
      <c r="N6" s="21"/>
      <c r="O6" s="20"/>
    </row>
    <row r="7" spans="1:15">
      <c r="B7" s="78"/>
      <c r="C7" s="46"/>
      <c r="D7" s="46"/>
      <c r="E7" s="46"/>
      <c r="F7" s="45">
        <v>2016</v>
      </c>
      <c r="G7" s="44">
        <f>F7+1</f>
        <v>2017</v>
      </c>
      <c r="H7" s="44">
        <f t="shared" ref="H7:O7" si="0">G7+1</f>
        <v>2018</v>
      </c>
      <c r="I7" s="44">
        <f t="shared" si="0"/>
        <v>2019</v>
      </c>
      <c r="J7" s="43">
        <f t="shared" si="0"/>
        <v>2020</v>
      </c>
      <c r="K7" s="42">
        <f t="shared" si="0"/>
        <v>2021</v>
      </c>
      <c r="L7" s="42">
        <f t="shared" si="0"/>
        <v>2022</v>
      </c>
      <c r="M7" s="42">
        <f t="shared" si="0"/>
        <v>2023</v>
      </c>
      <c r="N7" s="42">
        <f t="shared" si="0"/>
        <v>2024</v>
      </c>
      <c r="O7" s="42">
        <f t="shared" si="0"/>
        <v>2025</v>
      </c>
    </row>
    <row r="8" spans="1:15">
      <c r="B8" s="79" t="s">
        <v>66</v>
      </c>
      <c r="F8" s="60">
        <f>INDEX(SFIX_IS!$A$10:$F$51,MATCH(SFIX_DCF!$B8,SFIX_IS!$A$10:$A$51,0),MATCH(SFIX_DCF!F$7,SFIX_IS!$A$10:$F$10,0))</f>
        <v>730313</v>
      </c>
      <c r="G8" s="60">
        <f>INDEX(SFIX_IS!$A$10:$F$51,MATCH(SFIX_DCF!$B8,SFIX_IS!$A$10:$A$51,0),MATCH(SFIX_DCF!G$7,SFIX_IS!$A$10:$F$10,0))</f>
        <v>977139</v>
      </c>
      <c r="H8" s="60">
        <f>INDEX(SFIX_IS!$A$10:$F$51,MATCH(SFIX_DCF!$B8,SFIX_IS!$A$10:$A$51,0),MATCH(SFIX_DCF!H$7,SFIX_IS!$A$10:$F$10,0))</f>
        <v>1226505</v>
      </c>
      <c r="I8" s="60">
        <f>INDEX(SFIX_IS!$A$10:$F$51,MATCH(SFIX_DCF!$B8,SFIX_IS!$A$10:$A$51,0),MATCH(SFIX_DCF!I$7,SFIX_IS!$A$10:$F$10,0))</f>
        <v>1577558</v>
      </c>
      <c r="J8" s="61">
        <f>INDEX(SFIX_IS!$A$10:$F$51,MATCH(SFIX_DCF!$B8,SFIX_IS!$A$10:$A$51,0),MATCH(SFIX_DCF!J$7,SFIX_IS!$A$10:$F$10,0))</f>
        <v>1711733</v>
      </c>
      <c r="K8" s="126">
        <f>J8*(1+K26)</f>
        <v>1968492.95</v>
      </c>
      <c r="L8" s="126">
        <f t="shared" ref="L8:O8" si="1">K8*(1+L26)</f>
        <v>2288373.0543750003</v>
      </c>
      <c r="M8" s="126">
        <f t="shared" si="1"/>
        <v>2688838.3388906256</v>
      </c>
      <c r="N8" s="126">
        <f t="shared" si="1"/>
        <v>3192995.5274326177</v>
      </c>
      <c r="O8" s="126">
        <f t="shared" si="1"/>
        <v>3831594.6329191411</v>
      </c>
    </row>
    <row r="9" spans="1:15">
      <c r="B9" s="79" t="s">
        <v>45</v>
      </c>
      <c r="F9" s="62">
        <f>INDEX(SFIX_IS!$A$10:$F$51,MATCH(SFIX_DCF!$B9,SFIX_IS!$A$10:$A$51,0),MATCH(SFIX_DCF!F$7,SFIX_IS!$A$10:$F$10,0))</f>
        <v>407064</v>
      </c>
      <c r="G9" s="62">
        <f>INDEX(SFIX_IS!$A$10:$F$51,MATCH(SFIX_DCF!$B9,SFIX_IS!$A$10:$A$51,0),MATCH(SFIX_DCF!G$7,SFIX_IS!$A$10:$F$10,0))</f>
        <v>542718</v>
      </c>
      <c r="H9" s="62">
        <f>INDEX(SFIX_IS!$A$10:$F$51,MATCH(SFIX_DCF!$B9,SFIX_IS!$A$10:$A$51,0),MATCH(SFIX_DCF!H$7,SFIX_IS!$A$10:$F$10,0))</f>
        <v>690483</v>
      </c>
      <c r="I9" s="62">
        <f>INDEX(SFIX_IS!$A$10:$F$51,MATCH(SFIX_DCF!$B9,SFIX_IS!$A$10:$A$51,0),MATCH(SFIX_DCF!I$7,SFIX_IS!$A$10:$F$10,0))</f>
        <v>874429</v>
      </c>
      <c r="J9" s="63">
        <f>INDEX(SFIX_IS!$A$10:$F$51,MATCH(SFIX_DCF!$B9,SFIX_IS!$A$10:$A$51,0),MATCH(SFIX_DCF!J$7,SFIX_IS!$A$10:$F$10,0))</f>
        <v>957523</v>
      </c>
      <c r="K9" s="76">
        <f>K27*K8</f>
        <v>1092513.5872500001</v>
      </c>
      <c r="L9" s="76">
        <f t="shared" ref="L9:O9" si="2">L27*L8</f>
        <v>1267186.5788601567</v>
      </c>
      <c r="M9" s="76">
        <f t="shared" si="2"/>
        <v>1485583.182237071</v>
      </c>
      <c r="N9" s="76">
        <f t="shared" si="2"/>
        <v>1760138.784497231</v>
      </c>
      <c r="O9" s="76">
        <f t="shared" si="2"/>
        <v>2107377.0481055281</v>
      </c>
    </row>
    <row r="10" spans="1:15">
      <c r="B10" s="47" t="s">
        <v>44</v>
      </c>
      <c r="F10" s="64">
        <f>F8-F9</f>
        <v>323249</v>
      </c>
      <c r="G10" s="64">
        <f t="shared" ref="G10:J10" si="3">G8-G9</f>
        <v>434421</v>
      </c>
      <c r="H10" s="64">
        <f t="shared" si="3"/>
        <v>536022</v>
      </c>
      <c r="I10" s="64">
        <f t="shared" si="3"/>
        <v>703129</v>
      </c>
      <c r="J10" s="65">
        <f t="shared" si="3"/>
        <v>754210</v>
      </c>
      <c r="K10" s="127">
        <f>K8-K9</f>
        <v>875979.36274999985</v>
      </c>
      <c r="L10" s="127">
        <f t="shared" ref="L10:O10" si="4">L8-L9</f>
        <v>1021186.4755148436</v>
      </c>
      <c r="M10" s="127">
        <f t="shared" si="4"/>
        <v>1203255.1566535546</v>
      </c>
      <c r="N10" s="127">
        <f t="shared" si="4"/>
        <v>1432856.7429353867</v>
      </c>
      <c r="O10" s="127">
        <f t="shared" si="4"/>
        <v>1724217.584813613</v>
      </c>
    </row>
    <row r="11" spans="1:15">
      <c r="B11" s="47"/>
      <c r="F11" s="41"/>
      <c r="G11" s="41"/>
      <c r="H11" s="41"/>
      <c r="I11" s="41"/>
      <c r="J11" s="25"/>
      <c r="K11" s="76"/>
      <c r="L11" s="76"/>
      <c r="M11" s="76"/>
      <c r="N11" s="76"/>
      <c r="O11" s="76"/>
    </row>
    <row r="12" spans="1:15">
      <c r="B12" s="37" t="s">
        <v>43</v>
      </c>
      <c r="C12" s="11"/>
      <c r="D12" s="11"/>
      <c r="E12" s="11"/>
      <c r="F12" s="66">
        <f>INDEX(SFIX_IS!$A$10:$F$51,MATCH(SFIX_DCF!$B12,SFIX_IS!$A$10:$A$51,0),MATCH(SFIX_DCF!F$7,SFIX_IS!$A$10:$F$10,0))</f>
        <v>259021</v>
      </c>
      <c r="G12" s="66">
        <f>INDEX(SFIX_IS!$A$10:$F$51,MATCH(SFIX_DCF!$B12,SFIX_IS!$A$10:$A$51,0),MATCH(SFIX_DCF!G$7,SFIX_IS!$A$10:$F$10,0))</f>
        <v>402781</v>
      </c>
      <c r="H12" s="66">
        <f>INDEX(SFIX_IS!$A$10:$F$51,MATCH(SFIX_DCF!$B12,SFIX_IS!$A$10:$A$51,0),MATCH(SFIX_DCF!H$7,SFIX_IS!$A$10:$F$10,0))</f>
        <v>492998</v>
      </c>
      <c r="I12" s="66">
        <f>INDEX(SFIX_IS!$A$10:$F$51,MATCH(SFIX_DCF!$B12,SFIX_IS!$A$10:$A$51,0),MATCH(SFIX_DCF!I$7,SFIX_IS!$A$10:$F$10,0))</f>
        <v>679634</v>
      </c>
      <c r="J12" s="67">
        <f>INDEX(SFIX_IS!$A$10:$F$51,MATCH(SFIX_DCF!$B12,SFIX_IS!$A$10:$A$51,0),MATCH(SFIX_DCF!J$7,SFIX_IS!$A$10:$F$10,0))</f>
        <v>805874</v>
      </c>
      <c r="K12" s="128">
        <f>K8*K28</f>
        <v>984246.47499999998</v>
      </c>
      <c r="L12" s="126">
        <f t="shared" ref="L12:O12" si="5">L8*L28</f>
        <v>1086977.200828125</v>
      </c>
      <c r="M12" s="126">
        <f t="shared" si="5"/>
        <v>1209977.2525007813</v>
      </c>
      <c r="N12" s="126">
        <f t="shared" si="5"/>
        <v>1357023.0991588624</v>
      </c>
      <c r="O12" s="126">
        <f t="shared" si="5"/>
        <v>1532637.8531676561</v>
      </c>
    </row>
    <row r="13" spans="1:15">
      <c r="B13" s="80" t="s">
        <v>42</v>
      </c>
      <c r="C13" s="40"/>
      <c r="D13" s="40"/>
      <c r="E13" s="40"/>
      <c r="F13" s="64">
        <f>F10-F12</f>
        <v>64228</v>
      </c>
      <c r="G13" s="64">
        <f t="shared" ref="G13:K13" si="6">G10-G12</f>
        <v>31640</v>
      </c>
      <c r="H13" s="64">
        <f t="shared" si="6"/>
        <v>43024</v>
      </c>
      <c r="I13" s="64">
        <f t="shared" si="6"/>
        <v>23495</v>
      </c>
      <c r="J13" s="70">
        <f t="shared" si="6"/>
        <v>-51664</v>
      </c>
      <c r="K13" s="64">
        <f t="shared" si="6"/>
        <v>-108267.11225000012</v>
      </c>
      <c r="L13" s="129">
        <f t="shared" ref="L13" si="7">L10-L12</f>
        <v>-65790.725313281408</v>
      </c>
      <c r="M13" s="129">
        <f t="shared" ref="M13" si="8">M10-M12</f>
        <v>-6722.0958472266793</v>
      </c>
      <c r="N13" s="129">
        <f t="shared" ref="N13" si="9">N10-N12</f>
        <v>75833.643776524346</v>
      </c>
      <c r="O13" s="129">
        <f t="shared" ref="O13" si="10">O10-O12</f>
        <v>191579.73164595687</v>
      </c>
    </row>
    <row r="14" spans="1:15">
      <c r="B14" s="37" t="s">
        <v>41</v>
      </c>
      <c r="C14" s="39"/>
      <c r="D14" s="39">
        <v>0.25</v>
      </c>
      <c r="E14" s="11"/>
      <c r="F14" s="68">
        <f>F13*$D$14</f>
        <v>16057</v>
      </c>
      <c r="G14" s="68">
        <f t="shared" ref="G14:K14" si="11">G13*$D$14</f>
        <v>7910</v>
      </c>
      <c r="H14" s="68">
        <f t="shared" si="11"/>
        <v>10756</v>
      </c>
      <c r="I14" s="68">
        <f t="shared" si="11"/>
        <v>5873.75</v>
      </c>
      <c r="J14" s="71">
        <f t="shared" si="11"/>
        <v>-12916</v>
      </c>
      <c r="K14" s="73">
        <f t="shared" si="11"/>
        <v>-27066.778062500031</v>
      </c>
      <c r="L14" s="68">
        <f t="shared" ref="L14" si="12">L13*$D$14</f>
        <v>-16447.681328320352</v>
      </c>
      <c r="M14" s="68">
        <f t="shared" ref="M14" si="13">M13*$D$14</f>
        <v>-1680.5239618066698</v>
      </c>
      <c r="N14" s="68">
        <f t="shared" ref="N14" si="14">N13*$D$14</f>
        <v>18958.410944131087</v>
      </c>
      <c r="O14" s="68">
        <f t="shared" ref="O14" si="15">O13*$D$14</f>
        <v>47894.932911489217</v>
      </c>
    </row>
    <row r="15" spans="1:15">
      <c r="B15" s="81" t="s">
        <v>40</v>
      </c>
      <c r="C15" s="14"/>
      <c r="D15" s="14"/>
      <c r="E15" s="14"/>
      <c r="F15" s="69">
        <f>F13-F14</f>
        <v>48171</v>
      </c>
      <c r="G15" s="69">
        <f t="shared" ref="G15:K15" si="16">G13-G14</f>
        <v>23730</v>
      </c>
      <c r="H15" s="69">
        <f t="shared" si="16"/>
        <v>32268</v>
      </c>
      <c r="I15" s="69">
        <f t="shared" si="16"/>
        <v>17621.25</v>
      </c>
      <c r="J15" s="72">
        <f t="shared" si="16"/>
        <v>-38748</v>
      </c>
      <c r="K15" s="68">
        <f t="shared" si="16"/>
        <v>-81200.334187500092</v>
      </c>
      <c r="L15" s="69">
        <f t="shared" ref="L15" si="17">L13-L14</f>
        <v>-49343.043984961056</v>
      </c>
      <c r="M15" s="69">
        <f t="shared" ref="M15" si="18">M13-M14</f>
        <v>-5041.5718854200095</v>
      </c>
      <c r="N15" s="69">
        <f t="shared" ref="N15" si="19">N13-N14</f>
        <v>56875.23283239326</v>
      </c>
      <c r="O15" s="69">
        <f t="shared" ref="O15" si="20">O13-O14</f>
        <v>143684.79873446765</v>
      </c>
    </row>
    <row r="16" spans="1:15">
      <c r="B16" s="37"/>
      <c r="C16" s="11"/>
      <c r="D16" s="11"/>
      <c r="E16" s="11"/>
      <c r="F16" s="38"/>
      <c r="G16" s="38"/>
      <c r="H16" s="38"/>
      <c r="I16" s="38"/>
      <c r="J16" s="29"/>
      <c r="K16" s="126"/>
      <c r="L16" s="126"/>
      <c r="M16" s="126"/>
      <c r="N16" s="126"/>
      <c r="O16" s="126"/>
    </row>
    <row r="17" spans="2:19">
      <c r="B17" s="37" t="s">
        <v>39</v>
      </c>
      <c r="C17" s="11"/>
      <c r="D17" s="11"/>
      <c r="E17" s="11"/>
      <c r="F17" s="62">
        <f>INDEX(SFIX_IS!$A$10:$F$51,MATCH(SFIX_DCF!$B17,SFIX_IS!$A$10:$A$51,0),MATCH(SFIX_DCF!F$7,SFIX_IS!$A$10:$F$10,0))</f>
        <v>3544</v>
      </c>
      <c r="G17" s="62">
        <f>INDEX(SFIX_IS!$A$10:$F$51,MATCH(SFIX_DCF!$B17,SFIX_IS!$A$10:$A$51,0),MATCH(SFIX_DCF!G$7,SFIX_IS!$A$10:$F$10,0))</f>
        <v>7655</v>
      </c>
      <c r="H17" s="62">
        <f>INDEX(SFIX_IS!$A$10:$F$51,MATCH(SFIX_DCF!$B17,SFIX_IS!$A$10:$A$51,0),MATCH(SFIX_DCF!H$7,SFIX_IS!$A$10:$F$10,0))</f>
        <v>10542</v>
      </c>
      <c r="I17" s="62">
        <f>INDEX(SFIX_IS!$A$10:$F$51,MATCH(SFIX_DCF!$B17,SFIX_IS!$A$10:$A$51,0),MATCH(SFIX_DCF!I$7,SFIX_IS!$A$10:$F$10,0))</f>
        <v>14331</v>
      </c>
      <c r="J17" s="63">
        <f>INDEX(SFIX_IS!$A$10:$F$51,MATCH(SFIX_DCF!$B17,SFIX_IS!$A$10:$A$51,0),MATCH(SFIX_DCF!J$7,SFIX_IS!$A$10:$F$10,0))</f>
        <v>22617</v>
      </c>
      <c r="K17" s="68">
        <f>-K30*K18</f>
        <v>50196.570224999996</v>
      </c>
      <c r="L17" s="68">
        <f t="shared" ref="L17:O17" si="21">-L30*L18</f>
        <v>53311.941001142579</v>
      </c>
      <c r="M17" s="68">
        <f t="shared" si="21"/>
        <v>55961.447928161142</v>
      </c>
      <c r="N17" s="68">
        <f t="shared" si="21"/>
        <v>57623.591159135518</v>
      </c>
      <c r="O17" s="68">
        <f t="shared" si="21"/>
        <v>57473.919493787107</v>
      </c>
    </row>
    <row r="18" spans="2:19">
      <c r="B18" s="37" t="s">
        <v>38</v>
      </c>
      <c r="C18" s="11"/>
      <c r="D18" s="11"/>
      <c r="E18" s="11"/>
      <c r="F18" s="62">
        <f>INDEX(SFIX_IS!$A$10:$F$51,MATCH(SFIX_DCF!$B18,SFIX_IS!$A$10:$A$51,0),MATCH(SFIX_DCF!F$7,SFIX_IS!$A$10:$F$10,0))</f>
        <v>-15238</v>
      </c>
      <c r="G18" s="62">
        <f>INDEX(SFIX_IS!$A$10:$F$51,MATCH(SFIX_DCF!$B18,SFIX_IS!$A$10:$A$51,0),MATCH(SFIX_DCF!G$7,SFIX_IS!$A$10:$F$10,0))</f>
        <v>-17165</v>
      </c>
      <c r="H18" s="62">
        <f>INDEX(SFIX_IS!$A$10:$F$51,MATCH(SFIX_DCF!$B18,SFIX_IS!$A$10:$A$51,0),MATCH(SFIX_DCF!H$7,SFIX_IS!$A$10:$F$10,0))</f>
        <v>-16565</v>
      </c>
      <c r="I18" s="62">
        <f>INDEX(SFIX_IS!$A$10:$F$51,MATCH(SFIX_DCF!$B18,SFIX_IS!$A$10:$A$51,0),MATCH(SFIX_DCF!I$7,SFIX_IS!$A$10:$F$10,0))</f>
        <v>-30825</v>
      </c>
      <c r="J18" s="63">
        <f>INDEX(SFIX_IS!$A$10:$F$51,MATCH(SFIX_DCF!$B18,SFIX_IS!$A$10:$A$51,0),MATCH(SFIX_DCF!J$7,SFIX_IS!$A$10:$F$10,0))</f>
        <v>-30207</v>
      </c>
      <c r="K18" s="126">
        <f>-K29*K8</f>
        <v>-59054.788499999995</v>
      </c>
      <c r="L18" s="126">
        <f t="shared" ref="L18:O18" si="22">-L29*L8</f>
        <v>-60069.792677343758</v>
      </c>
      <c r="M18" s="126">
        <f t="shared" si="22"/>
        <v>-60498.862625039073</v>
      </c>
      <c r="N18" s="126">
        <f t="shared" si="22"/>
        <v>-59868.66613936158</v>
      </c>
      <c r="O18" s="126">
        <f t="shared" si="22"/>
        <v>-57473.919493787114</v>
      </c>
    </row>
    <row r="19" spans="2:19">
      <c r="B19" s="37" t="s">
        <v>37</v>
      </c>
      <c r="C19" s="11"/>
      <c r="D19" s="11"/>
      <c r="E19" s="11"/>
      <c r="F19" s="126">
        <f>-F66</f>
        <v>0</v>
      </c>
      <c r="G19" s="126">
        <f t="shared" ref="G19:O19" si="23">-G66</f>
        <v>18475</v>
      </c>
      <c r="H19" s="126">
        <f t="shared" si="23"/>
        <v>-24022</v>
      </c>
      <c r="I19" s="126">
        <f t="shared" si="23"/>
        <v>-8307</v>
      </c>
      <c r="J19" s="77">
        <f t="shared" si="23"/>
        <v>-6431</v>
      </c>
      <c r="K19" s="68">
        <f t="shared" si="23"/>
        <v>-17846.464749999999</v>
      </c>
      <c r="L19" s="68">
        <f t="shared" si="23"/>
        <v>-1599.4005218750026</v>
      </c>
      <c r="M19" s="68">
        <f t="shared" si="23"/>
        <v>-2002.3264225781259</v>
      </c>
      <c r="N19" s="68">
        <f t="shared" si="23"/>
        <v>-2520.7859427099611</v>
      </c>
      <c r="O19" s="68">
        <f t="shared" si="23"/>
        <v>-3192.9955274326185</v>
      </c>
    </row>
    <row r="20" spans="2:19">
      <c r="B20" s="82" t="s">
        <v>36</v>
      </c>
      <c r="C20" s="24"/>
      <c r="D20" s="24"/>
      <c r="E20" s="24"/>
      <c r="F20" s="85">
        <f>SUM(F15:F19)</f>
        <v>36477</v>
      </c>
      <c r="G20" s="85">
        <f t="shared" ref="G20:K20" si="24">SUM(G15:G19)</f>
        <v>32695</v>
      </c>
      <c r="H20" s="85">
        <f t="shared" si="24"/>
        <v>2223</v>
      </c>
      <c r="I20" s="85">
        <f t="shared" si="24"/>
        <v>-7179.75</v>
      </c>
      <c r="J20" s="86">
        <f t="shared" si="24"/>
        <v>-52769</v>
      </c>
      <c r="K20" s="64">
        <f t="shared" si="24"/>
        <v>-107905.01721250008</v>
      </c>
      <c r="L20" s="64">
        <f t="shared" ref="L20" si="25">SUM(L15:L19)</f>
        <v>-57700.296183037237</v>
      </c>
      <c r="M20" s="64">
        <f t="shared" ref="M20" si="26">SUM(M15:M19)</f>
        <v>-11581.313004876067</v>
      </c>
      <c r="N20" s="64">
        <f t="shared" ref="N20" si="27">SUM(N15:N19)</f>
        <v>52109.37190945723</v>
      </c>
      <c r="O20" s="64">
        <f t="shared" ref="O20" si="28">SUM(O15:O19)</f>
        <v>140491.80320703503</v>
      </c>
    </row>
    <row r="21" spans="2:19">
      <c r="B21" s="37"/>
      <c r="C21" s="24"/>
      <c r="D21" s="24"/>
      <c r="E21" s="24"/>
      <c r="F21" s="38"/>
      <c r="G21" s="38"/>
      <c r="H21" s="38"/>
      <c r="I21" s="38"/>
      <c r="J21" s="38"/>
      <c r="K21" s="11"/>
      <c r="L21" s="11"/>
      <c r="M21" s="11"/>
      <c r="N21" s="11"/>
      <c r="O21" s="11"/>
      <c r="P21" s="37"/>
    </row>
    <row r="22" spans="2:19">
      <c r="B22" s="79"/>
      <c r="F22" s="36"/>
    </row>
    <row r="23" spans="2:19">
      <c r="B23" s="79"/>
      <c r="F23" s="22" t="s">
        <v>8</v>
      </c>
      <c r="G23" s="21"/>
      <c r="H23" s="21"/>
      <c r="I23" s="21"/>
      <c r="J23" s="20"/>
      <c r="K23" s="22" t="s">
        <v>7</v>
      </c>
      <c r="L23" s="21"/>
      <c r="M23" s="21"/>
      <c r="N23" s="21"/>
      <c r="O23" s="20"/>
    </row>
    <row r="24" spans="2:19">
      <c r="B24" s="79"/>
      <c r="F24" s="35">
        <f>F7</f>
        <v>2016</v>
      </c>
      <c r="G24" s="17">
        <f t="shared" ref="G24:O24" si="29">F24+1</f>
        <v>2017</v>
      </c>
      <c r="H24" s="17">
        <f t="shared" si="29"/>
        <v>2018</v>
      </c>
      <c r="I24" s="17">
        <f t="shared" si="29"/>
        <v>2019</v>
      </c>
      <c r="J24" s="18">
        <f t="shared" si="29"/>
        <v>2020</v>
      </c>
      <c r="K24" s="17">
        <f t="shared" si="29"/>
        <v>2021</v>
      </c>
      <c r="L24" s="17">
        <f t="shared" si="29"/>
        <v>2022</v>
      </c>
      <c r="M24" s="17">
        <f t="shared" si="29"/>
        <v>2023</v>
      </c>
      <c r="N24" s="17">
        <f t="shared" si="29"/>
        <v>2024</v>
      </c>
      <c r="O24" s="17">
        <f t="shared" si="29"/>
        <v>2025</v>
      </c>
    </row>
    <row r="25" spans="2:19">
      <c r="B25" s="47" t="s">
        <v>35</v>
      </c>
      <c r="C25" s="3"/>
      <c r="E25" s="3"/>
      <c r="F25" s="6"/>
      <c r="G25" s="6"/>
      <c r="H25" s="6"/>
      <c r="I25" s="6"/>
      <c r="J25" s="16"/>
      <c r="K25" s="6"/>
      <c r="L25" s="6"/>
      <c r="M25" s="6"/>
      <c r="N25" s="6"/>
      <c r="O25" s="6"/>
    </row>
    <row r="26" spans="2:19">
      <c r="B26" s="79" t="s">
        <v>2</v>
      </c>
      <c r="F26" s="6"/>
      <c r="G26" s="6">
        <f>G8/F8-1</f>
        <v>0.33797289655257412</v>
      </c>
      <c r="H26" s="6">
        <f t="shared" ref="H26:J26" si="30">H8/G8-1</f>
        <v>0.25520013017595256</v>
      </c>
      <c r="I26" s="6">
        <f t="shared" si="30"/>
        <v>0.28622223309322026</v>
      </c>
      <c r="J26" s="16">
        <f t="shared" si="30"/>
        <v>8.5052340389386583E-2</v>
      </c>
      <c r="K26" s="7">
        <v>0.15</v>
      </c>
      <c r="L26" s="6">
        <f>K26+$S26</f>
        <v>0.16250000000000001</v>
      </c>
      <c r="M26" s="6">
        <f t="shared" ref="M26:O26" si="31">L26+$S26</f>
        <v>0.17500000000000002</v>
      </c>
      <c r="N26" s="6">
        <f t="shared" si="31"/>
        <v>0.18750000000000003</v>
      </c>
      <c r="O26" s="6">
        <f t="shared" si="31"/>
        <v>0.20000000000000004</v>
      </c>
      <c r="Q26" s="6" t="s">
        <v>3</v>
      </c>
      <c r="R26" s="7">
        <v>0.2</v>
      </c>
      <c r="S26" s="74">
        <f>(R26-K26)/($O$24-$K$24)</f>
        <v>1.2500000000000004E-2</v>
      </c>
    </row>
    <row r="27" spans="2:19">
      <c r="B27" s="79" t="s">
        <v>1</v>
      </c>
      <c r="F27" s="6">
        <f>F9/F8</f>
        <v>0.55738293033261077</v>
      </c>
      <c r="G27" s="6">
        <f t="shared" ref="G27:J27" si="32">G9/G8</f>
        <v>0.55541535032375133</v>
      </c>
      <c r="H27" s="6">
        <f t="shared" si="32"/>
        <v>0.56296794550368734</v>
      </c>
      <c r="I27" s="6">
        <f t="shared" si="32"/>
        <v>0.5542927740216208</v>
      </c>
      <c r="J27" s="16">
        <f t="shared" si="32"/>
        <v>0.55938805876851116</v>
      </c>
      <c r="K27" s="7">
        <v>0.55500000000000005</v>
      </c>
      <c r="L27" s="6">
        <f t="shared" ref="L27:O27" si="33">K27+$S27</f>
        <v>0.55375000000000008</v>
      </c>
      <c r="M27" s="6">
        <f t="shared" si="33"/>
        <v>0.5525000000000001</v>
      </c>
      <c r="N27" s="6">
        <f t="shared" si="33"/>
        <v>0.55125000000000013</v>
      </c>
      <c r="O27" s="6">
        <f t="shared" si="33"/>
        <v>0.55000000000000016</v>
      </c>
      <c r="Q27" s="6" t="s">
        <v>3</v>
      </c>
      <c r="R27" s="7">
        <v>0.55000000000000004</v>
      </c>
      <c r="S27" s="74">
        <f t="shared" ref="S27:S30" si="34">(R27-K27)/($O$24-$K$24)</f>
        <v>-1.2500000000000011E-3</v>
      </c>
    </row>
    <row r="28" spans="2:19">
      <c r="B28" s="79" t="s">
        <v>0</v>
      </c>
      <c r="F28" s="6">
        <f>F12/F8</f>
        <v>0.35467121631410092</v>
      </c>
      <c r="G28" s="6">
        <f t="shared" ref="G28:J28" si="35">G12/G8</f>
        <v>0.4122044049004287</v>
      </c>
      <c r="H28" s="6">
        <f t="shared" si="35"/>
        <v>0.40195351833054083</v>
      </c>
      <c r="I28" s="6">
        <f t="shared" si="35"/>
        <v>0.43081395422545476</v>
      </c>
      <c r="J28" s="16">
        <f t="shared" si="35"/>
        <v>0.47079421849085107</v>
      </c>
      <c r="K28" s="7">
        <v>0.5</v>
      </c>
      <c r="L28" s="6">
        <f t="shared" ref="L28:O28" si="36">K28+$S28</f>
        <v>0.47499999999999998</v>
      </c>
      <c r="M28" s="6">
        <f t="shared" si="36"/>
        <v>0.44999999999999996</v>
      </c>
      <c r="N28" s="6">
        <f t="shared" si="36"/>
        <v>0.42499999999999993</v>
      </c>
      <c r="O28" s="6">
        <f t="shared" si="36"/>
        <v>0.39999999999999991</v>
      </c>
      <c r="Q28" s="6" t="s">
        <v>3</v>
      </c>
      <c r="R28" s="7">
        <v>0.4</v>
      </c>
      <c r="S28" s="74">
        <f t="shared" si="34"/>
        <v>-2.4999999999999994E-2</v>
      </c>
    </row>
    <row r="29" spans="2:19">
      <c r="B29" s="79" t="s">
        <v>34</v>
      </c>
      <c r="F29" s="6">
        <f>-F18/F8</f>
        <v>2.0865026365407709E-2</v>
      </c>
      <c r="G29" s="6">
        <f t="shared" ref="G29:J29" si="37">-G18/G8</f>
        <v>1.7566589809638138E-2</v>
      </c>
      <c r="H29" s="6">
        <f t="shared" si="37"/>
        <v>1.350585607070497E-2</v>
      </c>
      <c r="I29" s="6">
        <f t="shared" si="37"/>
        <v>1.9539693627746175E-2</v>
      </c>
      <c r="J29" s="16">
        <f t="shared" si="37"/>
        <v>1.7647027895121493E-2</v>
      </c>
      <c r="K29" s="7">
        <v>0.03</v>
      </c>
      <c r="L29" s="6">
        <f t="shared" ref="L29:O29" si="38">K29+$S29</f>
        <v>2.6249999999999999E-2</v>
      </c>
      <c r="M29" s="6">
        <f t="shared" si="38"/>
        <v>2.2499999999999999E-2</v>
      </c>
      <c r="N29" s="6">
        <f t="shared" si="38"/>
        <v>1.8749999999999999E-2</v>
      </c>
      <c r="O29" s="6">
        <f t="shared" si="38"/>
        <v>1.4999999999999999E-2</v>
      </c>
      <c r="Q29" s="6" t="s">
        <v>3</v>
      </c>
      <c r="R29" s="7">
        <v>1.4999999999999999E-2</v>
      </c>
      <c r="S29" s="74">
        <f t="shared" si="34"/>
        <v>-3.7499999999999999E-3</v>
      </c>
    </row>
    <row r="30" spans="2:19">
      <c r="B30" s="79" t="s">
        <v>33</v>
      </c>
      <c r="F30" s="6">
        <f>-F17/F18</f>
        <v>0.23257645360283502</v>
      </c>
      <c r="G30" s="6">
        <f t="shared" ref="G30:J30" si="39">-G17/G18</f>
        <v>0.44596562773084764</v>
      </c>
      <c r="H30" s="6">
        <f t="shared" si="39"/>
        <v>0.6364020525203743</v>
      </c>
      <c r="I30" s="6">
        <f t="shared" si="39"/>
        <v>0.46491484184914844</v>
      </c>
      <c r="J30" s="16">
        <f t="shared" si="39"/>
        <v>0.74873373721322867</v>
      </c>
      <c r="K30" s="7">
        <v>0.85</v>
      </c>
      <c r="L30" s="6">
        <f t="shared" ref="L30:O30" si="40">K30+$S30</f>
        <v>0.88749999999999996</v>
      </c>
      <c r="M30" s="6">
        <f t="shared" si="40"/>
        <v>0.92499999999999993</v>
      </c>
      <c r="N30" s="6">
        <f t="shared" si="40"/>
        <v>0.96249999999999991</v>
      </c>
      <c r="O30" s="6">
        <f t="shared" si="40"/>
        <v>0.99999999999999989</v>
      </c>
      <c r="Q30" s="6" t="s">
        <v>3</v>
      </c>
      <c r="R30" s="7">
        <v>1</v>
      </c>
      <c r="S30" s="74">
        <f t="shared" si="34"/>
        <v>3.7500000000000006E-2</v>
      </c>
    </row>
    <row r="31" spans="2:19">
      <c r="B31" s="79" t="s">
        <v>32</v>
      </c>
      <c r="F31" s="6">
        <f>F10/F8</f>
        <v>0.44261706966738917</v>
      </c>
      <c r="G31" s="6">
        <f t="shared" ref="G31:J31" si="41">G10/G8</f>
        <v>0.44458464967624872</v>
      </c>
      <c r="H31" s="6">
        <f t="shared" si="41"/>
        <v>0.43703205449631272</v>
      </c>
      <c r="I31" s="6">
        <f t="shared" si="41"/>
        <v>0.44570722597837925</v>
      </c>
      <c r="J31" s="16">
        <f t="shared" si="41"/>
        <v>0.44061194123148878</v>
      </c>
      <c r="K31" s="6"/>
      <c r="L31" s="6"/>
      <c r="M31" s="6"/>
      <c r="N31" s="6"/>
      <c r="O31" s="6"/>
    </row>
    <row r="32" spans="2:19">
      <c r="F32" s="2"/>
      <c r="G32" s="2"/>
      <c r="H32" s="2"/>
      <c r="I32" s="2"/>
      <c r="J32" s="34"/>
      <c r="K32" s="33"/>
      <c r="L32" s="2"/>
      <c r="M32" s="2"/>
      <c r="N32" s="2"/>
      <c r="O32" s="2"/>
    </row>
    <row r="33" spans="1:19">
      <c r="A33" s="1" t="s">
        <v>179</v>
      </c>
      <c r="B33" s="5" t="s">
        <v>31</v>
      </c>
      <c r="C33" s="4"/>
      <c r="D33" s="5"/>
      <c r="E33" s="5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9" outlineLevel="1"/>
    <row r="35" spans="1:19" outlineLevel="1">
      <c r="F35" s="15" t="s">
        <v>5</v>
      </c>
      <c r="G35" s="14"/>
      <c r="H35" s="14"/>
      <c r="I35" s="13"/>
      <c r="K35" s="15" t="s">
        <v>30</v>
      </c>
      <c r="L35" s="14"/>
      <c r="M35" s="14"/>
      <c r="N35" s="13"/>
      <c r="P35" s="15" t="s">
        <v>235</v>
      </c>
      <c r="Q35" s="14"/>
      <c r="R35" s="14"/>
      <c r="S35" s="13"/>
    </row>
    <row r="36" spans="1:19" outlineLevel="1">
      <c r="F36" s="12" t="s">
        <v>29</v>
      </c>
      <c r="G36" s="11"/>
      <c r="H36" s="11"/>
      <c r="I36" s="77">
        <f>O20</f>
        <v>140491.80320703503</v>
      </c>
      <c r="K36" s="12" t="s">
        <v>28</v>
      </c>
      <c r="L36" s="11"/>
      <c r="M36" s="11"/>
      <c r="N36" s="77">
        <f>O13+O17</f>
        <v>249053.65113974398</v>
      </c>
      <c r="P36" s="12"/>
      <c r="S36" s="131"/>
    </row>
    <row r="37" spans="1:19" outlineLevel="1">
      <c r="F37" s="12" t="s">
        <v>4</v>
      </c>
      <c r="G37" s="11"/>
      <c r="H37" s="11"/>
      <c r="I37" s="32">
        <v>0.03</v>
      </c>
      <c r="K37" s="12" t="s">
        <v>27</v>
      </c>
      <c r="L37" s="11"/>
      <c r="M37" s="11"/>
      <c r="N37" s="31">
        <v>22.82</v>
      </c>
      <c r="P37" s="12" t="s">
        <v>236</v>
      </c>
      <c r="S37" s="10">
        <f>I45</f>
        <v>1026625.8120240783</v>
      </c>
    </row>
    <row r="38" spans="1:19" outlineLevel="1">
      <c r="F38" s="12" t="s">
        <v>26</v>
      </c>
      <c r="G38" s="11"/>
      <c r="H38" s="11"/>
      <c r="I38" s="77">
        <f>(I36*(1+I37))/(I39-I37)</f>
        <v>1644849.8197866224</v>
      </c>
      <c r="K38" s="12" t="s">
        <v>26</v>
      </c>
      <c r="L38" s="11"/>
      <c r="M38" s="11"/>
      <c r="N38" s="77">
        <f>N37*N36</f>
        <v>5683404.3190089576</v>
      </c>
      <c r="O38" s="23"/>
      <c r="P38" s="12" t="s">
        <v>237</v>
      </c>
      <c r="S38" s="10">
        <f>I77</f>
        <v>104271.783</v>
      </c>
    </row>
    <row r="39" spans="1:19" outlineLevel="1">
      <c r="F39" s="12" t="s">
        <v>25</v>
      </c>
      <c r="G39" s="11"/>
      <c r="H39" s="11"/>
      <c r="I39" s="30">
        <f>F110</f>
        <v>0.11797554376241966</v>
      </c>
      <c r="K39" s="12" t="s">
        <v>25</v>
      </c>
      <c r="L39" s="11"/>
      <c r="M39" s="11"/>
      <c r="N39" s="30">
        <f>F110</f>
        <v>0.11797554376241966</v>
      </c>
      <c r="O39" s="23"/>
      <c r="P39" s="12" t="s">
        <v>238</v>
      </c>
      <c r="S39" s="132">
        <f ca="1">Option_Value!E30</f>
        <v>17397.290829024005</v>
      </c>
    </row>
    <row r="40" spans="1:19" outlineLevel="1">
      <c r="F40" s="12" t="s">
        <v>24</v>
      </c>
      <c r="G40" s="11"/>
      <c r="H40" s="11"/>
      <c r="I40" s="77">
        <f>I38/(1+I39)^(O24-J24)</f>
        <v>941813.11817498424</v>
      </c>
      <c r="K40" s="12" t="s">
        <v>24</v>
      </c>
      <c r="L40" s="11"/>
      <c r="M40" s="11"/>
      <c r="N40" s="77">
        <f>-PV(N39,O24-J24,,N38)</f>
        <v>3254220.9502320262</v>
      </c>
      <c r="P40" s="9" t="s">
        <v>18</v>
      </c>
      <c r="Q40" s="8"/>
      <c r="R40" s="8"/>
      <c r="S40" s="133">
        <f ca="1">(S37-S39)/(S38+I84)</f>
        <v>8.9001050979498402</v>
      </c>
    </row>
    <row r="41" spans="1:19" outlineLevel="1">
      <c r="F41" s="12"/>
      <c r="G41" s="11"/>
      <c r="H41" s="11"/>
      <c r="I41" s="10"/>
      <c r="K41" s="12"/>
      <c r="L41" s="11"/>
      <c r="M41" s="11"/>
      <c r="N41" s="10"/>
    </row>
    <row r="42" spans="1:19" outlineLevel="1">
      <c r="F42" s="12" t="s">
        <v>23</v>
      </c>
      <c r="G42" s="11"/>
      <c r="H42" s="11"/>
      <c r="I42" s="77">
        <f>NPV(I39,K20:O20)</f>
        <v>-37171.306150905941</v>
      </c>
      <c r="K42" s="12" t="s">
        <v>23</v>
      </c>
      <c r="L42" s="11"/>
      <c r="M42" s="11"/>
      <c r="N42" s="77">
        <f>NPV(N39,K20:O20)</f>
        <v>-37171.306150905941</v>
      </c>
      <c r="P42" s="15" t="s">
        <v>239</v>
      </c>
      <c r="Q42" s="14"/>
      <c r="R42" s="14"/>
      <c r="S42" s="13"/>
    </row>
    <row r="43" spans="1:19" outlineLevel="1">
      <c r="F43" s="12" t="s">
        <v>22</v>
      </c>
      <c r="G43" s="11"/>
      <c r="H43" s="11"/>
      <c r="I43" s="77">
        <f>I42+I40</f>
        <v>904641.81202407833</v>
      </c>
      <c r="K43" s="12" t="s">
        <v>22</v>
      </c>
      <c r="L43" s="11"/>
      <c r="M43" s="11"/>
      <c r="N43" s="77">
        <f>N42+N40</f>
        <v>3217049.6440811204</v>
      </c>
      <c r="P43" s="12" t="s">
        <v>20</v>
      </c>
      <c r="S43" s="77">
        <f>I45</f>
        <v>1026625.8120240783</v>
      </c>
    </row>
    <row r="44" spans="1:19" outlineLevel="1">
      <c r="F44" s="12" t="s">
        <v>21</v>
      </c>
      <c r="G44" s="11"/>
      <c r="H44" s="11"/>
      <c r="I44" s="63">
        <f>SFIX_BS!B54+SFIX_BS!B39-SFIX_BS!B17-SFIX_BS!B19</f>
        <v>-121984</v>
      </c>
      <c r="K44" s="12" t="s">
        <v>21</v>
      </c>
      <c r="L44" s="11"/>
      <c r="M44" s="11"/>
      <c r="N44" s="63">
        <f>SFIX_BS!B54+SFIX_BS!B39-SFIX_BS!B17-SFIX_BS!B19</f>
        <v>-121984</v>
      </c>
      <c r="P44" s="12" t="s">
        <v>19</v>
      </c>
      <c r="S44" s="77">
        <f>N85</f>
        <v>120212.31999999999</v>
      </c>
    </row>
    <row r="45" spans="1:19" outlineLevel="1">
      <c r="F45" s="12" t="s">
        <v>20</v>
      </c>
      <c r="G45" s="11"/>
      <c r="H45" s="11"/>
      <c r="I45" s="77">
        <f>I43-I44</f>
        <v>1026625.8120240783</v>
      </c>
      <c r="K45" s="12" t="s">
        <v>20</v>
      </c>
      <c r="L45" s="11"/>
      <c r="M45" s="11"/>
      <c r="N45" s="77">
        <f>N43-N44</f>
        <v>3339033.6440811204</v>
      </c>
      <c r="P45" s="12" t="s">
        <v>240</v>
      </c>
      <c r="S45" s="77">
        <f>N82</f>
        <v>116574.05160000001</v>
      </c>
    </row>
    <row r="46" spans="1:19" outlineLevel="1">
      <c r="F46" s="12" t="s">
        <v>19</v>
      </c>
      <c r="G46" s="11"/>
      <c r="H46" s="11"/>
      <c r="I46" s="77">
        <f>I85</f>
        <v>115097.195910025</v>
      </c>
      <c r="K46" s="12" t="s">
        <v>19</v>
      </c>
      <c r="L46" s="11"/>
      <c r="M46" s="11"/>
      <c r="N46" s="77">
        <f>I85</f>
        <v>115097.195910025</v>
      </c>
      <c r="P46" s="9" t="s">
        <v>18</v>
      </c>
      <c r="Q46" s="8"/>
      <c r="R46" s="8"/>
      <c r="S46" s="133">
        <f>(S43+S45)/S44</f>
        <v>9.5098394542595823</v>
      </c>
    </row>
    <row r="47" spans="1:19" outlineLevel="1">
      <c r="F47" s="9" t="s">
        <v>18</v>
      </c>
      <c r="G47" s="8"/>
      <c r="H47" s="8"/>
      <c r="I47" s="28">
        <f>I45/I46</f>
        <v>8.9196422545917038</v>
      </c>
      <c r="K47" s="9" t="s">
        <v>18</v>
      </c>
      <c r="L47" s="8"/>
      <c r="M47" s="8"/>
      <c r="N47" s="28">
        <f>N45/N46</f>
        <v>29.010555971244905</v>
      </c>
    </row>
    <row r="48" spans="1:19" outlineLevel="1"/>
    <row r="49" spans="1:15" outlineLevel="1">
      <c r="E49" s="27"/>
    </row>
    <row r="50" spans="1:15" outlineLevel="1">
      <c r="G50" s="26"/>
    </row>
    <row r="51" spans="1:15">
      <c r="A51" s="1" t="s">
        <v>179</v>
      </c>
      <c r="B51" s="5" t="s">
        <v>17</v>
      </c>
      <c r="C51" s="4"/>
      <c r="D51" s="5"/>
      <c r="E51" s="5"/>
      <c r="F51" s="4"/>
      <c r="G51" s="4"/>
      <c r="H51" s="4"/>
      <c r="I51" s="4"/>
      <c r="J51" s="4"/>
      <c r="K51" s="4"/>
      <c r="L51" s="4"/>
      <c r="M51" s="4"/>
      <c r="N51" s="4"/>
      <c r="O51" s="4"/>
    </row>
    <row r="54" spans="1:15">
      <c r="F54" s="22" t="s">
        <v>8</v>
      </c>
      <c r="G54" s="21"/>
      <c r="H54" s="21"/>
      <c r="I54" s="21"/>
      <c r="J54" s="20"/>
      <c r="K54" s="22" t="s">
        <v>7</v>
      </c>
      <c r="L54" s="21"/>
      <c r="M54" s="21"/>
      <c r="N54" s="21"/>
      <c r="O54" s="20"/>
    </row>
    <row r="55" spans="1:15">
      <c r="B55" s="79"/>
      <c r="F55" s="19">
        <f>F7</f>
        <v>2016</v>
      </c>
      <c r="G55" s="17">
        <f t="shared" ref="G55:O55" si="42">F55+1</f>
        <v>2017</v>
      </c>
      <c r="H55" s="17">
        <f t="shared" si="42"/>
        <v>2018</v>
      </c>
      <c r="I55" s="17">
        <f t="shared" si="42"/>
        <v>2019</v>
      </c>
      <c r="J55" s="18">
        <f t="shared" si="42"/>
        <v>2020</v>
      </c>
      <c r="K55" s="17">
        <f t="shared" si="42"/>
        <v>2021</v>
      </c>
      <c r="L55" s="17">
        <f t="shared" si="42"/>
        <v>2022</v>
      </c>
      <c r="M55" s="17">
        <f t="shared" si="42"/>
        <v>2023</v>
      </c>
      <c r="N55" s="17">
        <f t="shared" si="42"/>
        <v>2024</v>
      </c>
      <c r="O55" s="17">
        <f t="shared" si="42"/>
        <v>2025</v>
      </c>
    </row>
    <row r="56" spans="1:15">
      <c r="B56" s="79" t="s">
        <v>16</v>
      </c>
      <c r="F56" s="60">
        <f>INDEX(SFIX_BS!$10:$65,MATCH(SFIX_DCF!$B56,SFIX_BS!$A$10:$A$65,0),MATCH(SFIX_DCF!F$55,SFIX_BS!$A$10:$F$10,0))</f>
        <v>148272</v>
      </c>
      <c r="G56" s="60">
        <f>INDEX(SFIX_BS!$10:$65,MATCH(SFIX_DCF!$B56,SFIX_BS!$A$10:$A$65,0),MATCH(SFIX_DCF!G$55,SFIX_BS!$A$10:$F$10,0))</f>
        <v>197762</v>
      </c>
      <c r="H56" s="60">
        <f>INDEX(SFIX_BS!$10:$65,MATCH(SFIX_DCF!$B56,SFIX_BS!$A$10:$A$65,0),MATCH(SFIX_DCF!H$55,SFIX_BS!$A$10:$F$10,0))</f>
        <v>417006</v>
      </c>
      <c r="I56" s="60">
        <f>INDEX(SFIX_BS!$10:$65,MATCH(SFIX_DCF!$B56,SFIX_BS!$A$10:$A$65,0),MATCH(SFIX_DCF!I$55,SFIX_BS!$A$10:$F$10,0))</f>
        <v>482404</v>
      </c>
      <c r="J56" s="61">
        <f>INDEX(SFIX_BS!$10:$65,MATCH(SFIX_DCF!$B56,SFIX_BS!$A$10:$A$65,0),MATCH(SFIX_DCF!J$55,SFIX_BS!$A$10:$F$10,0))</f>
        <v>466310</v>
      </c>
      <c r="K56" s="83"/>
      <c r="L56" s="83"/>
      <c r="M56" s="83"/>
      <c r="N56" s="83"/>
      <c r="O56" s="83"/>
    </row>
    <row r="57" spans="1:15">
      <c r="B57" s="79" t="s">
        <v>15</v>
      </c>
      <c r="F57" s="75">
        <f>INDEX(SFIX_BS!$10:$65,MATCH(SFIX_DCF!$B57,SFIX_BS!$A$10:$A$65,0),MATCH(SFIX_DCF!F$55,SFIX_BS!$A$10:$F$10,0))</f>
        <v>91488</v>
      </c>
      <c r="G57" s="75">
        <f>INDEX(SFIX_BS!$10:$65,MATCH(SFIX_DCF!$B57,SFIX_BS!$A$10:$A$65,0),MATCH(SFIX_DCF!G$55,SFIX_BS!$A$10:$F$10,0))</f>
        <v>110608</v>
      </c>
      <c r="H57" s="75">
        <f>INDEX(SFIX_BS!$10:$65,MATCH(SFIX_DCF!$B57,SFIX_BS!$A$10:$A$65,0),MATCH(SFIX_DCF!H$55,SFIX_BS!$A$10:$F$10,0))</f>
        <v>297516</v>
      </c>
      <c r="I57" s="75">
        <f>INDEX(SFIX_BS!$10:$65,MATCH(SFIX_DCF!$B57,SFIX_BS!$A$10:$A$65,0),MATCH(SFIX_DCF!I$55,SFIX_BS!$A$10:$F$10,0))</f>
        <v>170932</v>
      </c>
      <c r="J57" s="63">
        <f>INDEX(SFIX_BS!$10:$65,MATCH(SFIX_DCF!$B57,SFIX_BS!$A$10:$A$65,0),MATCH(SFIX_DCF!J$55,SFIX_BS!$A$10:$F$10,0))</f>
        <v>143455</v>
      </c>
    </row>
    <row r="58" spans="1:15">
      <c r="B58" s="79" t="s">
        <v>14</v>
      </c>
      <c r="F58" s="75">
        <f>INDEX(SFIX_BS!$10:$65,MATCH(SFIX_DCF!$B58,SFIX_BS!$A$10:$A$65,0),MATCH(SFIX_DCF!F$55,SFIX_BS!$A$10:$F$10,0))</f>
        <v>0</v>
      </c>
      <c r="G58" s="75">
        <f>INDEX(SFIX_BS!$10:$65,MATCH(SFIX_DCF!$B58,SFIX_BS!$A$10:$A$65,0),MATCH(SFIX_DCF!G$55,SFIX_BS!$A$10:$F$10,0))</f>
        <v>0</v>
      </c>
      <c r="H58" s="75">
        <f>INDEX(SFIX_BS!$10:$65,MATCH(SFIX_DCF!$B58,SFIX_BS!$A$10:$A$65,0),MATCH(SFIX_DCF!H$55,SFIX_BS!$A$10:$F$10,0))</f>
        <v>0</v>
      </c>
      <c r="I58" s="75">
        <f>INDEX(SFIX_BS!$10:$65,MATCH(SFIX_DCF!$B58,SFIX_BS!$A$10:$A$65,0),MATCH(SFIX_DCF!I$55,SFIX_BS!$A$10:$F$10,0))</f>
        <v>143276</v>
      </c>
      <c r="J58" s="63">
        <f>INDEX(SFIX_BS!$10:$65,MATCH(SFIX_DCF!$B58,SFIX_BS!$A$10:$A$65,0),MATCH(SFIX_DCF!J$55,SFIX_BS!$A$10:$F$10,0))</f>
        <v>143037</v>
      </c>
    </row>
    <row r="59" spans="1:15">
      <c r="B59" s="47" t="s">
        <v>13</v>
      </c>
      <c r="F59" s="76">
        <f>F56-F57-F58</f>
        <v>56784</v>
      </c>
      <c r="G59" s="76">
        <f t="shared" ref="G59:J59" si="43">G56-G57-G58</f>
        <v>87154</v>
      </c>
      <c r="H59" s="76">
        <f t="shared" si="43"/>
        <v>119490</v>
      </c>
      <c r="I59" s="76">
        <f t="shared" si="43"/>
        <v>168196</v>
      </c>
      <c r="J59" s="77">
        <f t="shared" si="43"/>
        <v>179818</v>
      </c>
    </row>
    <row r="60" spans="1:15">
      <c r="B60" s="79"/>
      <c r="F60" s="76"/>
      <c r="G60" s="76"/>
      <c r="H60" s="76"/>
      <c r="I60" s="76"/>
      <c r="J60" s="77"/>
    </row>
    <row r="61" spans="1:15">
      <c r="B61" s="79" t="s">
        <v>12</v>
      </c>
      <c r="F61" s="75">
        <f>INDEX(SFIX_BS!$10:$65,MATCH(SFIX_DCF!$B61,SFIX_BS!$A$10:$A$65,0),MATCH(SFIX_DCF!F$55,SFIX_BS!$A$10:$F$10,0))</f>
        <v>85073</v>
      </c>
      <c r="G61" s="75">
        <f>INDEX(SFIX_BS!$10:$65,MATCH(SFIX_DCF!$B61,SFIX_BS!$A$10:$A$65,0),MATCH(SFIX_DCF!G$55,SFIX_BS!$A$10:$F$10,0))</f>
        <v>133918</v>
      </c>
      <c r="H61" s="75">
        <f>INDEX(SFIX_BS!$10:$65,MATCH(SFIX_DCF!$B61,SFIX_BS!$A$10:$A$65,0),MATCH(SFIX_DCF!H$55,SFIX_BS!$A$10:$F$10,0))</f>
        <v>142232</v>
      </c>
      <c r="I61" s="75">
        <f>INDEX(SFIX_BS!$10:$65,MATCH(SFIX_DCF!$B61,SFIX_BS!$A$10:$A$65,0),MATCH(SFIX_DCF!I$55,SFIX_BS!$A$10:$F$10,0))</f>
        <v>182631</v>
      </c>
      <c r="J61" s="63">
        <f>INDEX(SFIX_BS!$10:$65,MATCH(SFIX_DCF!$B61,SFIX_BS!$A$10:$A$65,0),MATCH(SFIX_DCF!J$55,SFIX_BS!$A$10:$F$10,0))</f>
        <v>212155</v>
      </c>
    </row>
    <row r="62" spans="1:15">
      <c r="B62" s="79" t="s">
        <v>118</v>
      </c>
      <c r="F62" s="75">
        <f>INDEX(SFIX_BS!$10:$65,MATCH(SFIX_DCF!$B62,SFIX_BS!$A$10:$A$65,0),MATCH(SFIX_DCF!F$55,SFIX_BS!$A$10:$F$10,0))</f>
        <v>0</v>
      </c>
      <c r="G62" s="75">
        <f>INDEX(SFIX_BS!$10:$65,MATCH(SFIX_DCF!$B62,SFIX_BS!$A$10:$A$65,0),MATCH(SFIX_DCF!G$55,SFIX_BS!$A$10:$F$10,0))</f>
        <v>0</v>
      </c>
      <c r="H62" s="75">
        <f>INDEX(SFIX_BS!$10:$65,MATCH(SFIX_DCF!$B62,SFIX_BS!$A$10:$A$65,0),MATCH(SFIX_DCF!H$55,SFIX_BS!$A$10:$F$10,0))</f>
        <v>0</v>
      </c>
      <c r="I62" s="75">
        <f>INDEX(SFIX_BS!$10:$65,MATCH(SFIX_DCF!$B62,SFIX_BS!$A$10:$A$65,0),MATCH(SFIX_DCF!I$55,SFIX_BS!$A$10:$F$10,0))</f>
        <v>0</v>
      </c>
      <c r="J62" s="63">
        <f>INDEX(SFIX_BS!$10:$65,MATCH(SFIX_DCF!$B62,SFIX_BS!$A$10:$A$65,0),MATCH(SFIX_DCF!J$55,SFIX_BS!$A$10:$F$10,0))</f>
        <v>24333</v>
      </c>
    </row>
    <row r="63" spans="1:15">
      <c r="B63" s="47" t="s">
        <v>11</v>
      </c>
      <c r="F63" s="76">
        <f>F61-F62</f>
        <v>85073</v>
      </c>
      <c r="G63" s="76">
        <f t="shared" ref="G63:J63" si="44">G61-G62</f>
        <v>133918</v>
      </c>
      <c r="H63" s="76">
        <f t="shared" si="44"/>
        <v>142232</v>
      </c>
      <c r="I63" s="76">
        <f t="shared" si="44"/>
        <v>182631</v>
      </c>
      <c r="J63" s="77">
        <f t="shared" si="44"/>
        <v>187822</v>
      </c>
      <c r="K63" s="76"/>
      <c r="L63" s="76"/>
      <c r="M63" s="76"/>
      <c r="N63" s="76"/>
      <c r="O63" s="76"/>
    </row>
    <row r="64" spans="1:15">
      <c r="F64" s="76"/>
      <c r="G64" s="76"/>
      <c r="H64" s="76"/>
      <c r="I64" s="76"/>
      <c r="J64" s="77"/>
      <c r="K64" s="76"/>
      <c r="L64" s="76"/>
      <c r="M64" s="76"/>
      <c r="N64" s="76"/>
      <c r="O64" s="76"/>
    </row>
    <row r="65" spans="1:15">
      <c r="B65" s="24" t="s">
        <v>10</v>
      </c>
      <c r="F65" s="76">
        <f>F59-F63</f>
        <v>-28289</v>
      </c>
      <c r="G65" s="76">
        <f t="shared" ref="G65:J65" si="45">G59-G63</f>
        <v>-46764</v>
      </c>
      <c r="H65" s="76">
        <f t="shared" si="45"/>
        <v>-22742</v>
      </c>
      <c r="I65" s="76">
        <f t="shared" si="45"/>
        <v>-14435</v>
      </c>
      <c r="J65" s="77">
        <f t="shared" si="45"/>
        <v>-8004</v>
      </c>
      <c r="K65" s="76">
        <f>K8*K71</f>
        <v>9842.4647499999992</v>
      </c>
      <c r="L65" s="76">
        <f>L8*L71</f>
        <v>11441.865271875002</v>
      </c>
      <c r="M65" s="76">
        <f>M8*M71</f>
        <v>13444.191694453128</v>
      </c>
      <c r="N65" s="76">
        <f>N8*N71</f>
        <v>15964.977637163089</v>
      </c>
      <c r="O65" s="76">
        <f>O8*O71</f>
        <v>19157.973164595707</v>
      </c>
    </row>
    <row r="66" spans="1:15">
      <c r="B66" s="24" t="s">
        <v>9</v>
      </c>
      <c r="F66" s="83"/>
      <c r="G66" s="83">
        <f>G65-F65</f>
        <v>-18475</v>
      </c>
      <c r="H66" s="83">
        <f t="shared" ref="H66:J66" si="46">H65-G65</f>
        <v>24022</v>
      </c>
      <c r="I66" s="83">
        <f t="shared" si="46"/>
        <v>8307</v>
      </c>
      <c r="J66" s="84">
        <f t="shared" si="46"/>
        <v>6431</v>
      </c>
      <c r="K66" s="83">
        <f t="shared" ref="K66" si="47">K65-J65</f>
        <v>17846.464749999999</v>
      </c>
      <c r="L66" s="83">
        <f t="shared" ref="L66" si="48">L65-K65</f>
        <v>1599.4005218750026</v>
      </c>
      <c r="M66" s="83">
        <f t="shared" ref="M66" si="49">M65-L65</f>
        <v>2002.3264225781259</v>
      </c>
      <c r="N66" s="83">
        <f t="shared" ref="N66" si="50">N65-M65</f>
        <v>2520.7859427099611</v>
      </c>
      <c r="O66" s="83">
        <f t="shared" ref="O66" si="51">O65-N65</f>
        <v>3192.9955274326185</v>
      </c>
    </row>
    <row r="69" spans="1:15">
      <c r="F69" s="22" t="s">
        <v>8</v>
      </c>
      <c r="G69" s="21"/>
      <c r="H69" s="21"/>
      <c r="I69" s="21"/>
      <c r="J69" s="20"/>
      <c r="K69" s="22" t="s">
        <v>7</v>
      </c>
      <c r="L69" s="21"/>
      <c r="M69" s="21"/>
      <c r="N69" s="21"/>
      <c r="O69" s="20"/>
    </row>
    <row r="70" spans="1:15">
      <c r="F70" s="19">
        <f>F55</f>
        <v>2016</v>
      </c>
      <c r="G70" s="17">
        <f t="shared" ref="G70:O70" si="52">F70+1</f>
        <v>2017</v>
      </c>
      <c r="H70" s="17">
        <f t="shared" si="52"/>
        <v>2018</v>
      </c>
      <c r="I70" s="17">
        <f t="shared" si="52"/>
        <v>2019</v>
      </c>
      <c r="J70" s="18">
        <f t="shared" si="52"/>
        <v>2020</v>
      </c>
      <c r="K70" s="17">
        <f t="shared" si="52"/>
        <v>2021</v>
      </c>
      <c r="L70" s="17">
        <f t="shared" si="52"/>
        <v>2022</v>
      </c>
      <c r="M70" s="17">
        <f t="shared" si="52"/>
        <v>2023</v>
      </c>
      <c r="N70" s="17">
        <f t="shared" si="52"/>
        <v>2024</v>
      </c>
      <c r="O70" s="17">
        <f t="shared" si="52"/>
        <v>2025</v>
      </c>
    </row>
    <row r="71" spans="1:15">
      <c r="B71" s="1" t="s">
        <v>6</v>
      </c>
      <c r="F71" s="6">
        <f>F65/F8</f>
        <v>-3.8735446308637532E-2</v>
      </c>
      <c r="G71" s="6">
        <f>G65/G8</f>
        <v>-4.7858083650330202E-2</v>
      </c>
      <c r="H71" s="6">
        <f>H65/H8</f>
        <v>-1.8542117643222E-2</v>
      </c>
      <c r="I71" s="6">
        <f>I65/I8</f>
        <v>-9.1502182487109823E-3</v>
      </c>
      <c r="J71" s="6">
        <f>J65/J8</f>
        <v>-4.6759628984193212E-3</v>
      </c>
      <c r="K71" s="7">
        <v>5.0000000000000001E-3</v>
      </c>
      <c r="L71" s="6">
        <f>K71</f>
        <v>5.0000000000000001E-3</v>
      </c>
      <c r="M71" s="6">
        <f t="shared" ref="M71:O71" si="53">L71</f>
        <v>5.0000000000000001E-3</v>
      </c>
      <c r="N71" s="6">
        <f t="shared" si="53"/>
        <v>5.0000000000000001E-3</v>
      </c>
      <c r="O71" s="6">
        <f t="shared" si="53"/>
        <v>5.0000000000000001E-3</v>
      </c>
    </row>
    <row r="73" spans="1:15">
      <c r="A73" s="1" t="s">
        <v>179</v>
      </c>
      <c r="B73" s="87" t="s">
        <v>180</v>
      </c>
      <c r="C73" s="88"/>
      <c r="D73" s="87"/>
      <c r="E73" s="87"/>
      <c r="F73" s="88"/>
      <c r="G73" s="88"/>
      <c r="H73" s="88"/>
      <c r="I73" s="88"/>
      <c r="J73" s="88"/>
      <c r="K73" s="88"/>
      <c r="L73" s="88"/>
      <c r="M73" s="88"/>
      <c r="N73" s="88"/>
      <c r="O73" s="88"/>
    </row>
    <row r="74" spans="1:15" outlineLevel="1"/>
    <row r="75" spans="1:15" outlineLevel="1"/>
    <row r="76" spans="1:15" outlineLevel="1">
      <c r="B76" s="89"/>
      <c r="C76" s="89"/>
      <c r="D76" s="89"/>
      <c r="E76" s="89"/>
      <c r="F76" s="90" t="s">
        <v>181</v>
      </c>
      <c r="G76" s="91"/>
      <c r="H76" s="91"/>
      <c r="I76" s="92"/>
      <c r="J76" s="89"/>
      <c r="K76" s="90" t="s">
        <v>182</v>
      </c>
      <c r="L76" s="91"/>
      <c r="M76" s="91"/>
      <c r="N76" s="92"/>
      <c r="O76" s="89"/>
    </row>
    <row r="77" spans="1:15" outlineLevel="1">
      <c r="F77" s="93" t="s">
        <v>183</v>
      </c>
      <c r="G77" s="94"/>
      <c r="H77" s="94"/>
      <c r="I77" s="159">
        <f>59222.368+45049.415</f>
        <v>104271.783</v>
      </c>
      <c r="K77" s="93" t="s">
        <v>183</v>
      </c>
      <c r="L77" s="94"/>
      <c r="M77" s="94"/>
      <c r="N77" s="160">
        <f>I77</f>
        <v>104271.783</v>
      </c>
    </row>
    <row r="78" spans="1:15" outlineLevel="1">
      <c r="F78" s="93" t="s">
        <v>184</v>
      </c>
      <c r="G78" s="94"/>
      <c r="H78" s="94"/>
      <c r="I78" s="159">
        <v>2703.6439999999998</v>
      </c>
      <c r="K78" s="93" t="s">
        <v>185</v>
      </c>
      <c r="L78" s="94"/>
      <c r="M78" s="94"/>
      <c r="N78" s="159">
        <v>6817.1959999999999</v>
      </c>
    </row>
    <row r="79" spans="1:15" outlineLevel="1">
      <c r="F79" s="93" t="s">
        <v>186</v>
      </c>
      <c r="G79" s="94"/>
      <c r="H79" s="94"/>
      <c r="I79" s="158">
        <v>13.34</v>
      </c>
      <c r="K79" s="93" t="s">
        <v>186</v>
      </c>
      <c r="L79" s="94"/>
      <c r="M79" s="94"/>
      <c r="N79" s="158">
        <v>17.100000000000001</v>
      </c>
    </row>
    <row r="80" spans="1:15" outlineLevel="1">
      <c r="F80" s="93" t="s">
        <v>187</v>
      </c>
      <c r="G80" s="94"/>
      <c r="H80" s="94"/>
      <c r="I80" s="158">
        <v>36.01</v>
      </c>
      <c r="K80" s="93"/>
      <c r="L80" s="94"/>
      <c r="M80" s="94"/>
      <c r="N80" s="95"/>
    </row>
    <row r="81" spans="1:15" outlineLevel="1">
      <c r="F81" s="93" t="s">
        <v>188</v>
      </c>
      <c r="G81" s="94"/>
      <c r="H81" s="94"/>
      <c r="I81" s="160">
        <f>IF(I80&gt;I79,I78,0)</f>
        <v>2703.6439999999998</v>
      </c>
      <c r="K81" s="93"/>
      <c r="L81" s="94"/>
      <c r="M81" s="94"/>
      <c r="N81" s="95"/>
    </row>
    <row r="82" spans="1:15" outlineLevel="1">
      <c r="F82" s="93" t="s">
        <v>189</v>
      </c>
      <c r="G82" s="94"/>
      <c r="H82" s="94"/>
      <c r="I82" s="160">
        <f>I81*I79</f>
        <v>36066.610959999998</v>
      </c>
      <c r="K82" s="93" t="s">
        <v>189</v>
      </c>
      <c r="L82" s="94"/>
      <c r="M82" s="94"/>
      <c r="N82" s="160">
        <f>N79*N78</f>
        <v>116574.05160000001</v>
      </c>
    </row>
    <row r="83" spans="1:15" outlineLevel="1">
      <c r="F83" s="93" t="s">
        <v>190</v>
      </c>
      <c r="G83" s="94"/>
      <c r="H83" s="94"/>
      <c r="I83" s="160">
        <f>I82/I80</f>
        <v>1001.572089975007</v>
      </c>
      <c r="K83" s="93"/>
      <c r="L83" s="94"/>
      <c r="M83" s="94"/>
      <c r="N83" s="160"/>
    </row>
    <row r="84" spans="1:15" outlineLevel="1">
      <c r="F84" s="93" t="s">
        <v>272</v>
      </c>
      <c r="G84" s="94"/>
      <c r="H84" s="94"/>
      <c r="I84" s="159">
        <v>9123.3410000000003</v>
      </c>
      <c r="K84" s="93" t="s">
        <v>272</v>
      </c>
      <c r="L84" s="94"/>
      <c r="M84" s="94"/>
      <c r="N84" s="160">
        <f>I84</f>
        <v>9123.3410000000003</v>
      </c>
    </row>
    <row r="85" spans="1:15" outlineLevel="1">
      <c r="F85" s="93" t="s">
        <v>191</v>
      </c>
      <c r="G85" s="94"/>
      <c r="H85" s="94"/>
      <c r="I85" s="160">
        <f>I77+I81-I83+I84</f>
        <v>115097.195910025</v>
      </c>
      <c r="K85" s="93" t="s">
        <v>191</v>
      </c>
      <c r="L85" s="94"/>
      <c r="M85" s="94"/>
      <c r="N85" s="160">
        <f>N77+N78+N84</f>
        <v>120212.31999999999</v>
      </c>
    </row>
    <row r="86" spans="1:15" outlineLevel="1">
      <c r="F86" s="96"/>
      <c r="G86" s="97"/>
      <c r="H86" s="97"/>
      <c r="I86" s="98"/>
      <c r="K86" s="96"/>
      <c r="L86" s="97"/>
      <c r="M86" s="97"/>
      <c r="N86" s="98"/>
    </row>
    <row r="87" spans="1:15" outlineLevel="1"/>
    <row r="88" spans="1:15">
      <c r="A88" s="1" t="s">
        <v>179</v>
      </c>
      <c r="B88" s="5" t="s">
        <v>192</v>
      </c>
      <c r="C88" s="4"/>
      <c r="D88" s="5"/>
      <c r="E88" s="5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>
      <c r="B89" s="99"/>
      <c r="C89" s="100"/>
      <c r="D89" s="99"/>
      <c r="E89" s="99"/>
      <c r="F89" s="100"/>
      <c r="G89" s="100"/>
      <c r="H89" s="100"/>
      <c r="I89" s="100"/>
      <c r="J89" s="100"/>
      <c r="K89" s="100"/>
      <c r="L89" s="100"/>
      <c r="M89" s="100"/>
      <c r="N89" s="100"/>
      <c r="O89" s="100"/>
    </row>
    <row r="90" spans="1:15">
      <c r="F90" s="3" t="s">
        <v>193</v>
      </c>
      <c r="G90" s="3"/>
    </row>
    <row r="91" spans="1:15">
      <c r="B91" s="101" t="s">
        <v>194</v>
      </c>
      <c r="F91" s="102"/>
      <c r="G91" s="102"/>
      <c r="H91" s="102"/>
      <c r="I91" s="102"/>
      <c r="J91" s="102"/>
      <c r="K91" s="102"/>
      <c r="L91" s="102"/>
    </row>
    <row r="92" spans="1:15">
      <c r="B92" s="103" t="s">
        <v>195</v>
      </c>
      <c r="F92" s="83">
        <f>SFIX_BS!B39+SFIX_BS!B54</f>
        <v>164508</v>
      </c>
      <c r="G92" s="102"/>
      <c r="H92" s="102"/>
      <c r="I92" s="102"/>
      <c r="J92" s="102"/>
      <c r="K92" s="102"/>
      <c r="L92" s="102"/>
    </row>
    <row r="93" spans="1:15">
      <c r="B93" s="103" t="s">
        <v>196</v>
      </c>
      <c r="F93" s="130">
        <v>36.01</v>
      </c>
      <c r="G93" s="102"/>
      <c r="H93" s="102"/>
      <c r="I93" s="102"/>
      <c r="J93" s="102"/>
      <c r="K93" s="102"/>
      <c r="L93" s="102"/>
    </row>
    <row r="94" spans="1:15">
      <c r="B94" s="157" t="s">
        <v>191</v>
      </c>
      <c r="F94" s="125">
        <f>59222.368+45049.415</f>
        <v>104271.783</v>
      </c>
      <c r="G94" s="102"/>
      <c r="H94" s="102"/>
      <c r="I94" s="102"/>
      <c r="J94" s="102"/>
      <c r="K94" s="102"/>
      <c r="L94" s="102"/>
    </row>
    <row r="95" spans="1:15">
      <c r="B95" s="103" t="s">
        <v>197</v>
      </c>
      <c r="F95" s="83">
        <f>F94*F93</f>
        <v>3754826.9058299996</v>
      </c>
      <c r="G95" s="102"/>
      <c r="H95" s="102"/>
      <c r="I95" s="102"/>
      <c r="J95" s="102"/>
      <c r="K95" s="102"/>
      <c r="L95" s="102"/>
    </row>
    <row r="96" spans="1:15">
      <c r="B96"/>
      <c r="F96" s="102"/>
      <c r="G96" s="102"/>
      <c r="H96" s="102"/>
      <c r="I96" s="102"/>
      <c r="J96" s="102"/>
      <c r="K96" s="102"/>
      <c r="L96" s="102"/>
    </row>
    <row r="97" spans="1:15">
      <c r="B97" s="103" t="s">
        <v>198</v>
      </c>
      <c r="F97" s="6">
        <f>F92/(F92+F95)</f>
        <v>4.1973448034587406E-2</v>
      </c>
      <c r="G97" s="104"/>
      <c r="H97" s="102"/>
      <c r="I97" s="102"/>
      <c r="J97" s="102"/>
      <c r="K97" s="102"/>
      <c r="L97" s="102"/>
    </row>
    <row r="98" spans="1:15">
      <c r="B98" s="103" t="s">
        <v>199</v>
      </c>
      <c r="F98" s="6">
        <f>F95/(F95+F92)</f>
        <v>0.95802655196541264</v>
      </c>
      <c r="G98" s="104"/>
      <c r="H98" s="102"/>
      <c r="I98" s="102"/>
      <c r="J98" s="102"/>
      <c r="K98" s="102"/>
      <c r="L98" s="102"/>
    </row>
    <row r="99" spans="1:15">
      <c r="B99"/>
      <c r="F99" s="117"/>
      <c r="G99" s="102"/>
      <c r="H99" s="102"/>
      <c r="I99" s="102"/>
      <c r="J99" s="102"/>
      <c r="K99" s="102"/>
      <c r="L99" s="102"/>
    </row>
    <row r="100" spans="1:15">
      <c r="B100" s="101" t="s">
        <v>200</v>
      </c>
      <c r="F100" s="102"/>
      <c r="G100" s="102"/>
      <c r="H100" s="102"/>
      <c r="I100" s="102"/>
      <c r="J100" s="102"/>
      <c r="K100" s="102"/>
      <c r="L100" s="102"/>
    </row>
    <row r="101" spans="1:15">
      <c r="B101" s="103" t="s">
        <v>201</v>
      </c>
      <c r="F101" s="105">
        <v>4.8000000000000001E-2</v>
      </c>
      <c r="G101" s="102"/>
      <c r="H101" s="102"/>
      <c r="I101" s="102"/>
      <c r="J101" s="102"/>
      <c r="K101" s="102"/>
      <c r="L101" s="102"/>
    </row>
    <row r="102" spans="1:15">
      <c r="B102" s="103" t="s">
        <v>202</v>
      </c>
      <c r="F102" s="105">
        <v>0.25</v>
      </c>
      <c r="G102" s="102"/>
      <c r="H102" s="102"/>
      <c r="I102" s="102"/>
      <c r="J102" s="102"/>
      <c r="K102" s="102"/>
      <c r="L102" s="102"/>
    </row>
    <row r="103" spans="1:15">
      <c r="B103"/>
      <c r="F103" s="102"/>
      <c r="G103" s="102"/>
      <c r="H103" s="102"/>
      <c r="I103" s="102"/>
      <c r="J103" s="102"/>
      <c r="K103" s="102"/>
      <c r="L103" s="102"/>
    </row>
    <row r="104" spans="1:15">
      <c r="B104" s="101" t="s">
        <v>203</v>
      </c>
      <c r="F104" s="102"/>
      <c r="G104" s="102"/>
      <c r="H104" s="102"/>
      <c r="I104" s="102"/>
      <c r="J104" s="102"/>
      <c r="K104" s="102"/>
      <c r="L104" s="102"/>
    </row>
    <row r="105" spans="1:15">
      <c r="B105" s="103" t="s">
        <v>204</v>
      </c>
      <c r="F105" s="105">
        <v>8.1099999999999992E-3</v>
      </c>
      <c r="G105" s="102"/>
      <c r="H105" s="102"/>
      <c r="I105" s="102"/>
      <c r="J105" s="102"/>
      <c r="K105" s="102"/>
      <c r="L105" s="102"/>
    </row>
    <row r="106" spans="1:15">
      <c r="B106" s="103" t="s">
        <v>205</v>
      </c>
      <c r="F106" s="105">
        <v>5.2900000000000003E-2</v>
      </c>
      <c r="G106" s="102"/>
      <c r="H106" s="102"/>
      <c r="I106" s="102"/>
      <c r="J106" s="102"/>
      <c r="K106" s="102"/>
      <c r="L106" s="102"/>
    </row>
    <row r="107" spans="1:15">
      <c r="B107" s="103" t="s">
        <v>206</v>
      </c>
      <c r="F107" s="124">
        <f>D128</f>
        <v>2.1447464943115087</v>
      </c>
      <c r="G107" s="102"/>
      <c r="H107" s="102"/>
      <c r="I107" s="102"/>
      <c r="J107" s="102"/>
      <c r="K107" s="102"/>
      <c r="L107" s="102"/>
    </row>
    <row r="108" spans="1:15">
      <c r="B108" s="101" t="s">
        <v>203</v>
      </c>
      <c r="F108" s="6">
        <f>F105+F106*F107</f>
        <v>0.1215670895490788</v>
      </c>
      <c r="G108" s="102"/>
      <c r="H108" s="102"/>
      <c r="I108" s="102"/>
      <c r="J108" s="102"/>
      <c r="K108" s="102"/>
      <c r="L108" s="102"/>
    </row>
    <row r="109" spans="1:15">
      <c r="B109"/>
      <c r="F109" s="102"/>
      <c r="G109" s="102"/>
      <c r="H109" s="102"/>
      <c r="I109" s="102"/>
      <c r="J109" s="102"/>
      <c r="K109" s="102"/>
      <c r="L109" s="102"/>
    </row>
    <row r="110" spans="1:15">
      <c r="B110" s="101" t="s">
        <v>207</v>
      </c>
      <c r="F110" s="6">
        <f>F108*F98+F101*F97*(1-F102)</f>
        <v>0.11797554376241966</v>
      </c>
      <c r="G110" s="102"/>
      <c r="H110" s="102"/>
      <c r="I110" s="102"/>
      <c r="J110" s="102"/>
      <c r="K110" s="102"/>
      <c r="L110" s="102"/>
    </row>
    <row r="112" spans="1:15">
      <c r="A112" s="1" t="s">
        <v>179</v>
      </c>
      <c r="B112" s="5" t="s">
        <v>208</v>
      </c>
      <c r="C112" s="4"/>
      <c r="D112" s="5"/>
      <c r="E112" s="5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2:13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</row>
    <row r="114" spans="2:13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</row>
    <row r="115" spans="2:13">
      <c r="B115" s="103"/>
      <c r="C115" s="103"/>
      <c r="D115" s="103"/>
      <c r="E115" s="106" t="s">
        <v>209</v>
      </c>
      <c r="F115" s="106" t="s">
        <v>210</v>
      </c>
      <c r="G115" s="107" t="s">
        <v>211</v>
      </c>
      <c r="H115" s="107" t="s">
        <v>212</v>
      </c>
      <c r="I115" s="107" t="s">
        <v>213</v>
      </c>
      <c r="J115" s="103"/>
      <c r="K115" s="107" t="s">
        <v>214</v>
      </c>
    </row>
    <row r="116" spans="2:13" ht="14.5" thickBot="1">
      <c r="B116" s="108" t="s">
        <v>215</v>
      </c>
      <c r="C116" s="109"/>
      <c r="D116" s="110"/>
      <c r="E116" s="110" t="s">
        <v>216</v>
      </c>
      <c r="F116" s="110" t="s">
        <v>217</v>
      </c>
      <c r="G116" s="110" t="s">
        <v>216</v>
      </c>
      <c r="H116" s="110" t="s">
        <v>206</v>
      </c>
      <c r="I116" s="110" t="s">
        <v>206</v>
      </c>
      <c r="J116" s="103"/>
      <c r="K116" s="110" t="s">
        <v>218</v>
      </c>
    </row>
    <row r="117" spans="2:13">
      <c r="B117" s="103" t="s">
        <v>227</v>
      </c>
      <c r="C117" s="103"/>
      <c r="D117" s="103" t="s">
        <v>225</v>
      </c>
      <c r="E117" s="121">
        <v>2905000</v>
      </c>
      <c r="F117" s="121">
        <f>4785+42948+20791</f>
        <v>68524</v>
      </c>
      <c r="G117" s="115">
        <f>F117/E117</f>
        <v>2.3588296041308091E-2</v>
      </c>
      <c r="H117" s="114">
        <v>4.45</v>
      </c>
      <c r="I117" s="115">
        <f>H117/(1+(G117*(1-K117)))</f>
        <v>4.3726426087465367</v>
      </c>
      <c r="J117" s="103"/>
      <c r="K117" s="116">
        <v>0.25</v>
      </c>
    </row>
    <row r="118" spans="2:13">
      <c r="B118" s="103" t="s">
        <v>228</v>
      </c>
      <c r="C118" s="103"/>
      <c r="D118" s="103" t="s">
        <v>226</v>
      </c>
      <c r="E118" s="121">
        <v>16843000</v>
      </c>
      <c r="F118" s="122">
        <f>803227+49258+8073</f>
        <v>860558</v>
      </c>
      <c r="G118" s="115">
        <f t="shared" ref="G118:G121" si="54">F118/E118</f>
        <v>5.1092916938787626E-2</v>
      </c>
      <c r="H118" s="114">
        <v>1.35</v>
      </c>
      <c r="I118" s="115">
        <f t="shared" ref="I118:I121" si="55">H118/(1+(G118*(1-K118)))</f>
        <v>1.3001776003930829</v>
      </c>
      <c r="J118" s="103"/>
      <c r="K118" s="117">
        <f>K117</f>
        <v>0.25</v>
      </c>
    </row>
    <row r="119" spans="2:13">
      <c r="B119" s="103" t="s">
        <v>229</v>
      </c>
      <c r="C119" s="103"/>
      <c r="D119" s="103" t="s">
        <v>230</v>
      </c>
      <c r="E119" s="121">
        <v>9231000</v>
      </c>
      <c r="F119" s="122">
        <f>129786+459874+20018</f>
        <v>609678</v>
      </c>
      <c r="G119" s="115">
        <f t="shared" si="54"/>
        <v>6.6046798830029244E-2</v>
      </c>
      <c r="H119" s="114">
        <v>2.97</v>
      </c>
      <c r="I119" s="115">
        <f t="shared" si="55"/>
        <v>2.829824369364216</v>
      </c>
      <c r="J119" s="103"/>
      <c r="K119" s="117">
        <f t="shared" ref="K119:K121" si="56">K118</f>
        <v>0.25</v>
      </c>
    </row>
    <row r="120" spans="2:13">
      <c r="B120" s="103" t="s">
        <v>231</v>
      </c>
      <c r="C120" s="103"/>
      <c r="D120" s="103" t="s">
        <v>232</v>
      </c>
      <c r="E120" s="121">
        <v>42417000</v>
      </c>
      <c r="F120" s="122">
        <f>632646+147941</f>
        <v>780587</v>
      </c>
      <c r="G120" s="115">
        <f t="shared" si="54"/>
        <v>1.840269231675979E-2</v>
      </c>
      <c r="H120" s="114">
        <v>1.1200000000000001</v>
      </c>
      <c r="I120" s="115">
        <f t="shared" si="55"/>
        <v>1.1047521890342027</v>
      </c>
      <c r="J120" s="103"/>
      <c r="K120" s="117">
        <f t="shared" si="56"/>
        <v>0.25</v>
      </c>
    </row>
    <row r="121" spans="2:13">
      <c r="B121" s="103" t="s">
        <v>233</v>
      </c>
      <c r="C121" s="103"/>
      <c r="D121" s="103" t="s">
        <v>234</v>
      </c>
      <c r="E121" s="121">
        <v>508985</v>
      </c>
      <c r="F121" s="122">
        <f>10411+1664+2500+589+101506+36934+77000+27512</f>
        <v>258116</v>
      </c>
      <c r="G121" s="115">
        <f t="shared" si="54"/>
        <v>0.50711907030659054</v>
      </c>
      <c r="H121" s="114">
        <v>1.07</v>
      </c>
      <c r="I121" s="115">
        <f t="shared" si="55"/>
        <v>0.77517172617183727</v>
      </c>
      <c r="J121" s="103"/>
      <c r="K121" s="117">
        <f t="shared" si="56"/>
        <v>0.25</v>
      </c>
    </row>
    <row r="122" spans="2:13">
      <c r="B122" s="103"/>
      <c r="C122" s="103"/>
      <c r="D122" s="103"/>
      <c r="E122" s="111"/>
      <c r="F122" s="112"/>
      <c r="G122" s="113"/>
      <c r="H122" s="114"/>
      <c r="I122" s="115"/>
      <c r="J122" s="103"/>
      <c r="K122" s="117"/>
    </row>
    <row r="123" spans="2:13"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</row>
    <row r="124" spans="2:13">
      <c r="B124" s="103" t="s">
        <v>219</v>
      </c>
      <c r="C124" s="115"/>
      <c r="D124" s="115">
        <f>AVERAGE(I117:I121)</f>
        <v>2.0765136987419752</v>
      </c>
      <c r="E124" s="103"/>
      <c r="F124" s="103"/>
      <c r="G124" s="103"/>
      <c r="H124" s="103"/>
      <c r="I124" s="115"/>
      <c r="J124" s="103"/>
      <c r="K124" s="115"/>
      <c r="L124" s="103"/>
      <c r="M124" s="103"/>
    </row>
    <row r="125" spans="2:13">
      <c r="B125" s="103" t="s">
        <v>220</v>
      </c>
      <c r="C125"/>
      <c r="D125" s="123">
        <v>1.1200000000000001</v>
      </c>
      <c r="E125" s="103"/>
      <c r="F125" s="103"/>
      <c r="G125" s="103"/>
      <c r="H125" s="103"/>
      <c r="I125" s="115"/>
      <c r="J125" s="103"/>
      <c r="K125" s="115"/>
      <c r="L125" s="103"/>
      <c r="M125" s="103"/>
    </row>
    <row r="126" spans="2:13">
      <c r="B126" s="103" t="s">
        <v>222</v>
      </c>
      <c r="C126" s="103"/>
      <c r="D126" s="115">
        <f>F92/F95</f>
        <v>4.3812405771508051E-2</v>
      </c>
      <c r="E126" s="103"/>
      <c r="F126" s="103"/>
      <c r="G126" s="103"/>
      <c r="H126" s="103"/>
      <c r="I126" s="118"/>
      <c r="J126" s="103"/>
      <c r="K126" s="119"/>
      <c r="L126" s="103"/>
      <c r="M126" s="103"/>
    </row>
    <row r="127" spans="2:13">
      <c r="B127" s="103" t="s">
        <v>223</v>
      </c>
      <c r="C127" s="119"/>
      <c r="D127" s="117">
        <f>K117</f>
        <v>0.25</v>
      </c>
      <c r="E127" s="103"/>
      <c r="F127" s="103"/>
      <c r="G127" s="103"/>
      <c r="H127" s="103"/>
      <c r="I127" s="117"/>
      <c r="J127" s="103"/>
      <c r="L127" s="103"/>
      <c r="M127" s="103"/>
    </row>
    <row r="128" spans="2:13">
      <c r="B128" s="101" t="s">
        <v>224</v>
      </c>
      <c r="C128" s="103"/>
      <c r="D128" s="115">
        <f>D124*(1+(D126*(1-D127)))</f>
        <v>2.1447464943115087</v>
      </c>
      <c r="E128" s="103"/>
      <c r="F128" s="103"/>
      <c r="G128" s="103"/>
      <c r="H128" s="103"/>
      <c r="I128" s="115"/>
      <c r="J128" s="103"/>
      <c r="K128" s="120"/>
      <c r="L128" s="103"/>
      <c r="M128" s="103"/>
    </row>
    <row r="130" spans="1:15">
      <c r="A130" s="1" t="s">
        <v>179</v>
      </c>
      <c r="B130" s="5" t="s">
        <v>221</v>
      </c>
      <c r="C130" s="4"/>
      <c r="D130" s="5"/>
      <c r="E130" s="5"/>
      <c r="F130" s="4"/>
      <c r="G130" s="4"/>
      <c r="H130" s="4"/>
      <c r="I130" s="4"/>
      <c r="J130" s="4"/>
      <c r="K130" s="4"/>
      <c r="L130" s="4"/>
      <c r="M130" s="4"/>
      <c r="N130" s="4"/>
      <c r="O130" s="4"/>
    </row>
  </sheetData>
  <scenarios current="2" sqref="I50 N50">
    <scenario name="Base case" locked="1" count="3" user="Classroom" comment="Created by Classroom on 3/19/2018_x000a_Modified by Classroom on 3/19/2018">
      <inputCells r="K26" val="0.07" numFmtId="165"/>
      <inputCells r="K27" val="0.615" numFmtId="165"/>
      <inputCells r="K28" val="0.04" numFmtId="165"/>
    </scenario>
    <scenario name="Best case" locked="1" count="3" user="Classroom" comment="Created by Classroom on 3/19/2018">
      <inputCells r="K26" val="0.09" numFmtId="165"/>
      <inputCells r="K27" val="0.61" numFmtId="165"/>
      <inputCells r="K28" val="0.037" numFmtId="165"/>
    </scenario>
    <scenario name="Worst case" locked="1" count="3" user="Classroom" comment="Created by Classroom on 3/19/2018">
      <inputCells r="K26" val="0.02" numFmtId="165"/>
      <inputCells r="K27" val="0.63" numFmtId="165"/>
      <inputCells r="K28" val="0.043" numFmtId="165"/>
    </scenario>
  </scenarios>
  <pageMargins left="0.7" right="0.7" top="0.75" bottom="0.75" header="0.3" footer="0.3"/>
  <pageSetup orientation="portrait" verticalDpi="9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83F5-B93C-4AA5-AA20-13B7BBDE7763}">
  <dimension ref="B2:H30"/>
  <sheetViews>
    <sheetView workbookViewId="0">
      <selection activeCell="E30" sqref="E30"/>
    </sheetView>
  </sheetViews>
  <sheetFormatPr defaultColWidth="10.1796875" defaultRowHeight="12.5"/>
  <cols>
    <col min="1" max="1" width="3.1796875" style="137" customWidth="1"/>
    <col min="2" max="2" width="13.1796875" style="137" customWidth="1"/>
    <col min="3" max="3" width="19.26953125" style="137" customWidth="1"/>
    <col min="4" max="16384" width="10.1796875" style="137"/>
  </cols>
  <sheetData>
    <row r="2" spans="2:8" s="135" customFormat="1" ht="18">
      <c r="B2" s="134" t="s">
        <v>241</v>
      </c>
      <c r="C2" s="134"/>
    </row>
    <row r="3" spans="2:8" ht="13">
      <c r="B3" s="136" t="s">
        <v>242</v>
      </c>
      <c r="C3" s="136"/>
      <c r="E3" s="138">
        <f ca="1">SFIX_DCF!S40</f>
        <v>8.9001050979498615</v>
      </c>
    </row>
    <row r="4" spans="2:8" ht="13">
      <c r="B4" s="136" t="s">
        <v>243</v>
      </c>
      <c r="C4" s="136"/>
      <c r="E4" s="139">
        <v>17.100000000000001</v>
      </c>
    </row>
    <row r="5" spans="2:8" ht="13">
      <c r="B5" s="136" t="s">
        <v>244</v>
      </c>
      <c r="C5" s="136"/>
      <c r="E5" s="163">
        <v>6.2</v>
      </c>
    </row>
    <row r="6" spans="2:8" ht="13">
      <c r="B6" s="136" t="s">
        <v>245</v>
      </c>
      <c r="C6" s="136"/>
      <c r="E6" s="140">
        <v>0.501</v>
      </c>
      <c r="F6" s="136" t="s">
        <v>246</v>
      </c>
    </row>
    <row r="7" spans="2:8" ht="13">
      <c r="B7" s="136" t="s">
        <v>247</v>
      </c>
      <c r="C7" s="136"/>
      <c r="E7" s="141">
        <v>0</v>
      </c>
    </row>
    <row r="8" spans="2:8" ht="13">
      <c r="B8" s="136" t="s">
        <v>248</v>
      </c>
      <c r="C8" s="136"/>
      <c r="E8" s="141">
        <v>8.1099999999999992E-3</v>
      </c>
    </row>
    <row r="9" spans="2:8" ht="13">
      <c r="B9" s="136" t="s">
        <v>249</v>
      </c>
      <c r="C9" s="136"/>
      <c r="E9" s="161">
        <v>6817.1959999999999</v>
      </c>
    </row>
    <row r="10" spans="2:8" ht="13">
      <c r="B10" s="136" t="s">
        <v>250</v>
      </c>
      <c r="C10" s="136"/>
      <c r="E10" s="162">
        <f>SFIX_DCF!I77</f>
        <v>104271.783</v>
      </c>
    </row>
    <row r="11" spans="2:8" ht="13">
      <c r="B11" s="136"/>
      <c r="C11" s="136"/>
      <c r="E11" s="142"/>
    </row>
    <row r="12" spans="2:8" ht="13">
      <c r="B12" s="136" t="s">
        <v>251</v>
      </c>
      <c r="C12" s="143" t="s">
        <v>252</v>
      </c>
      <c r="E12" s="142"/>
    </row>
    <row r="13" spans="2:8" ht="13">
      <c r="B13" s="136"/>
      <c r="C13" s="136"/>
    </row>
    <row r="14" spans="2:8" s="146" customFormat="1" ht="13.5">
      <c r="B14" s="144" t="s">
        <v>253</v>
      </c>
      <c r="C14" s="145"/>
    </row>
    <row r="15" spans="2:8" s="136" customFormat="1" ht="13">
      <c r="B15" s="147" t="s">
        <v>254</v>
      </c>
    </row>
    <row r="16" spans="2:8" s="136" customFormat="1" ht="13">
      <c r="B16" s="136" t="s">
        <v>255</v>
      </c>
      <c r="D16" s="148">
        <f ca="1">E3</f>
        <v>8.9001050979498615</v>
      </c>
      <c r="E16" s="136" t="s">
        <v>256</v>
      </c>
      <c r="G16" s="143">
        <f>E9</f>
        <v>6817.1959999999999</v>
      </c>
      <c r="H16" s="149"/>
    </row>
    <row r="17" spans="2:8" s="136" customFormat="1" ht="13">
      <c r="B17" s="136" t="s">
        <v>257</v>
      </c>
      <c r="D17" s="148">
        <f>E4</f>
        <v>17.100000000000001</v>
      </c>
      <c r="E17" s="136" t="s">
        <v>258</v>
      </c>
      <c r="G17" s="150">
        <f>E10</f>
        <v>104271.783</v>
      </c>
      <c r="H17" s="149"/>
    </row>
    <row r="18" spans="2:8" s="136" customFormat="1" ht="13">
      <c r="B18" s="136" t="s">
        <v>259</v>
      </c>
      <c r="D18" s="148">
        <f ca="1">(D16*G17+D29*G16)/(G17+G16)</f>
        <v>8.5105392703235054</v>
      </c>
      <c r="E18" s="136" t="s">
        <v>260</v>
      </c>
      <c r="G18" s="151">
        <f>E8</f>
        <v>8.1099999999999992E-3</v>
      </c>
    </row>
    <row r="19" spans="2:8" s="136" customFormat="1" ht="13">
      <c r="B19" s="136" t="s">
        <v>261</v>
      </c>
      <c r="D19" s="148">
        <f>D17</f>
        <v>17.100000000000001</v>
      </c>
      <c r="E19" s="136" t="s">
        <v>262</v>
      </c>
      <c r="G19" s="152">
        <f>E6^2</f>
        <v>0.25100099999999997</v>
      </c>
    </row>
    <row r="20" spans="2:8" s="136" customFormat="1" ht="13">
      <c r="B20" s="136" t="s">
        <v>263</v>
      </c>
      <c r="D20" s="148">
        <f>E5</f>
        <v>6.2</v>
      </c>
      <c r="E20" s="136" t="s">
        <v>264</v>
      </c>
      <c r="G20" s="151">
        <f>E7</f>
        <v>0</v>
      </c>
    </row>
    <row r="21" spans="2:8" s="136" customFormat="1" ht="13">
      <c r="D21" s="147"/>
      <c r="E21" s="136" t="s">
        <v>265</v>
      </c>
      <c r="G21" s="153">
        <f>G18-G20</f>
        <v>8.1099999999999992E-3</v>
      </c>
    </row>
    <row r="22" spans="2:8" s="136" customFormat="1" ht="13"/>
    <row r="23" spans="2:8" s="136" customFormat="1" ht="13">
      <c r="B23" s="136" t="s">
        <v>266</v>
      </c>
      <c r="C23" s="143">
        <f ca="1">(LN(D18/D19)+(G21+(G19/2))*D20)/(((G19)^(0.5))*(D20^0.5))</f>
        <v>0.10470063840393419</v>
      </c>
    </row>
    <row r="24" spans="2:8" s="136" customFormat="1" ht="13">
      <c r="B24" s="136" t="s">
        <v>267</v>
      </c>
      <c r="C24" s="143">
        <f ca="1">NORMSDIST(C23)</f>
        <v>0.54169332231258926</v>
      </c>
    </row>
    <row r="25" spans="2:8" s="136" customFormat="1" ht="13"/>
    <row r="26" spans="2:8" s="136" customFormat="1" ht="13">
      <c r="B26" s="136" t="s">
        <v>268</v>
      </c>
      <c r="C26" s="143">
        <f ca="1">C23-((G19^0.5)*(D20^(0.5)))</f>
        <v>-1.1427793013145366</v>
      </c>
    </row>
    <row r="27" spans="2:8" s="136" customFormat="1" ht="13">
      <c r="B27" s="136" t="s">
        <v>269</v>
      </c>
      <c r="C27" s="143">
        <f ca="1">NORMSDIST(C26)</f>
        <v>0.12656511739756621</v>
      </c>
    </row>
    <row r="28" spans="2:8" ht="13.5" thickBot="1">
      <c r="B28" s="136"/>
      <c r="C28" s="136"/>
    </row>
    <row r="29" spans="2:8" s="136" customFormat="1" ht="13.5" thickBot="1">
      <c r="B29" s="136" t="s">
        <v>270</v>
      </c>
      <c r="D29" s="154">
        <f ca="1">IF(C12="OFF",((EXP((0-G20)*D20))*D18*C24-D19*(EXP((0-G18)*D20))*C27),0)</f>
        <v>2.5519716359957973</v>
      </c>
      <c r="H29" s="155"/>
    </row>
    <row r="30" spans="2:8" s="136" customFormat="1" ht="13.5" thickBot="1">
      <c r="B30" s="136" t="s">
        <v>271</v>
      </c>
      <c r="E30" s="156">
        <f ca="1">D29*E9</f>
        <v>17397.290829024005</v>
      </c>
    </row>
  </sheetData>
  <dataValidations count="1">
    <dataValidation type="list" allowBlank="1" showInputMessage="1" showErrorMessage="1" sqref="C12" xr:uid="{BDB94AFE-2D96-4E95-A08D-FBC97AA8F180}">
      <formula1>"ON,OFF"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41A7-BDB6-49C9-AA42-62652B6F0CAE}">
  <sheetPr codeName="Sheet2"/>
  <dimension ref="A4:G51"/>
  <sheetViews>
    <sheetView workbookViewId="0">
      <selection activeCell="E37" sqref="E37"/>
    </sheetView>
  </sheetViews>
  <sheetFormatPr defaultRowHeight="12.5"/>
  <cols>
    <col min="1" max="1" width="50" customWidth="1"/>
    <col min="2" max="196" width="12" customWidth="1"/>
  </cols>
  <sheetData>
    <row r="4" spans="1:7">
      <c r="A4" s="48" t="s">
        <v>48</v>
      </c>
    </row>
    <row r="5" spans="1:7" ht="20">
      <c r="A5" s="49" t="s">
        <v>49</v>
      </c>
    </row>
    <row r="7" spans="1:7">
      <c r="A7" s="50" t="s">
        <v>50</v>
      </c>
    </row>
    <row r="10" spans="1:7" ht="13">
      <c r="A10" s="51" t="s">
        <v>51</v>
      </c>
      <c r="B10">
        <f>YEAR(B11)</f>
        <v>2020</v>
      </c>
      <c r="C10">
        <f t="shared" ref="C10:F10" si="0">YEAR(C11)</f>
        <v>2019</v>
      </c>
      <c r="D10">
        <f t="shared" si="0"/>
        <v>2018</v>
      </c>
      <c r="E10">
        <f t="shared" si="0"/>
        <v>2017</v>
      </c>
      <c r="F10">
        <f t="shared" si="0"/>
        <v>2016</v>
      </c>
    </row>
    <row r="11" spans="1:7" ht="13">
      <c r="A11" s="52" t="s">
        <v>52</v>
      </c>
      <c r="B11" s="53" t="s">
        <v>53</v>
      </c>
      <c r="C11" s="53" t="s">
        <v>54</v>
      </c>
      <c r="D11" s="53" t="s">
        <v>55</v>
      </c>
      <c r="E11" s="53" t="s">
        <v>56</v>
      </c>
      <c r="F11" s="53" t="s">
        <v>57</v>
      </c>
      <c r="G11" s="52"/>
    </row>
    <row r="12" spans="1:7" ht="13">
      <c r="A12" s="52" t="s">
        <v>58</v>
      </c>
      <c r="B12" s="53" t="s">
        <v>59</v>
      </c>
      <c r="C12" s="53" t="s">
        <v>59</v>
      </c>
      <c r="D12" s="53" t="s">
        <v>59</v>
      </c>
      <c r="E12" s="53" t="s">
        <v>59</v>
      </c>
      <c r="F12" s="53" t="s">
        <v>59</v>
      </c>
      <c r="G12" s="52"/>
    </row>
    <row r="13" spans="1:7" ht="13">
      <c r="A13" s="52" t="s">
        <v>60</v>
      </c>
      <c r="B13" s="53" t="s">
        <v>61</v>
      </c>
      <c r="C13" s="53" t="s">
        <v>61</v>
      </c>
      <c r="D13" s="53" t="s">
        <v>61</v>
      </c>
      <c r="E13" s="53" t="s">
        <v>61</v>
      </c>
      <c r="F13" s="53" t="s">
        <v>61</v>
      </c>
      <c r="G13" s="52"/>
    </row>
    <row r="14" spans="1:7" ht="13">
      <c r="A14" s="52" t="s">
        <v>62</v>
      </c>
      <c r="B14" s="53" t="s">
        <v>63</v>
      </c>
      <c r="C14" s="53" t="s">
        <v>63</v>
      </c>
      <c r="D14" s="53" t="s">
        <v>63</v>
      </c>
      <c r="E14" s="53" t="s">
        <v>63</v>
      </c>
      <c r="F14" s="53" t="s">
        <v>63</v>
      </c>
      <c r="G14" s="52"/>
    </row>
    <row r="15" spans="1:7" ht="13">
      <c r="A15" s="52" t="s">
        <v>64</v>
      </c>
      <c r="B15" s="53" t="s">
        <v>65</v>
      </c>
      <c r="C15" s="53" t="s">
        <v>65</v>
      </c>
      <c r="D15" s="53" t="s">
        <v>65</v>
      </c>
      <c r="E15" s="53" t="s">
        <v>65</v>
      </c>
      <c r="F15" s="53" t="s">
        <v>65</v>
      </c>
      <c r="G15" s="52"/>
    </row>
    <row r="16" spans="1:7">
      <c r="A16" s="54" t="s">
        <v>66</v>
      </c>
      <c r="B16" s="55">
        <v>1711733</v>
      </c>
      <c r="C16" s="55">
        <v>1577558</v>
      </c>
      <c r="D16" s="55">
        <v>1226505</v>
      </c>
      <c r="E16" s="55">
        <v>977139</v>
      </c>
      <c r="F16" s="55">
        <v>730313</v>
      </c>
      <c r="G16" s="54"/>
    </row>
    <row r="17" spans="1:7">
      <c r="A17" s="54" t="s">
        <v>45</v>
      </c>
      <c r="B17" s="55">
        <v>957523</v>
      </c>
      <c r="C17" s="55">
        <v>874429</v>
      </c>
      <c r="D17" s="55">
        <v>690483</v>
      </c>
      <c r="E17" s="55">
        <v>542718</v>
      </c>
      <c r="F17" s="55">
        <v>407064</v>
      </c>
      <c r="G17" s="54"/>
    </row>
    <row r="18" spans="1:7">
      <c r="A18" s="54" t="s">
        <v>67</v>
      </c>
      <c r="B18" s="55">
        <v>754210</v>
      </c>
      <c r="C18" s="55">
        <v>703129</v>
      </c>
      <c r="D18" s="55">
        <v>536022</v>
      </c>
      <c r="E18" s="55">
        <v>434421</v>
      </c>
      <c r="F18" s="55">
        <v>323249</v>
      </c>
      <c r="G18" s="54"/>
    </row>
    <row r="19" spans="1:7">
      <c r="A19" s="54" t="s">
        <v>43</v>
      </c>
      <c r="B19" s="55">
        <v>805874</v>
      </c>
      <c r="C19" s="55">
        <v>679634</v>
      </c>
      <c r="D19" s="55">
        <v>492998</v>
      </c>
      <c r="E19" s="55">
        <v>402781</v>
      </c>
      <c r="F19" s="55">
        <v>259021</v>
      </c>
      <c r="G19" s="54"/>
    </row>
    <row r="20" spans="1:7">
      <c r="A20" s="54" t="s">
        <v>68</v>
      </c>
      <c r="B20" s="55">
        <v>-51664</v>
      </c>
      <c r="C20" s="55">
        <v>23495</v>
      </c>
      <c r="D20" s="55">
        <v>43024</v>
      </c>
      <c r="E20" s="55">
        <v>31640</v>
      </c>
      <c r="F20" s="55">
        <v>64228</v>
      </c>
      <c r="G20" s="54"/>
    </row>
    <row r="21" spans="1:7">
      <c r="A21" s="54" t="s">
        <v>69</v>
      </c>
      <c r="B21" s="56" t="s">
        <v>70</v>
      </c>
      <c r="C21" s="56" t="s">
        <v>70</v>
      </c>
      <c r="D21" s="55">
        <v>10685</v>
      </c>
      <c r="E21" s="55">
        <v>-18881</v>
      </c>
      <c r="F21" s="55">
        <v>-3019</v>
      </c>
      <c r="G21" s="54"/>
    </row>
    <row r="22" spans="1:7">
      <c r="A22" s="54" t="s">
        <v>71</v>
      </c>
      <c r="B22" s="55">
        <v>5535</v>
      </c>
      <c r="C22" s="55">
        <v>5791</v>
      </c>
      <c r="D22" s="56" t="s">
        <v>70</v>
      </c>
      <c r="E22" s="56" t="s">
        <v>70</v>
      </c>
      <c r="F22" s="56" t="s">
        <v>70</v>
      </c>
      <c r="G22" s="54"/>
    </row>
    <row r="23" spans="1:7">
      <c r="A23" s="54" t="s">
        <v>72</v>
      </c>
      <c r="B23" s="55">
        <v>-1593</v>
      </c>
      <c r="C23" s="55">
        <v>1535</v>
      </c>
      <c r="D23" s="55">
        <v>1004</v>
      </c>
      <c r="E23" s="55">
        <v>42</v>
      </c>
      <c r="F23" s="55">
        <v>13</v>
      </c>
      <c r="G23" s="54"/>
    </row>
    <row r="24" spans="1:7">
      <c r="A24" s="54" t="s">
        <v>73</v>
      </c>
      <c r="B24" s="55">
        <v>-48302</v>
      </c>
      <c r="C24" s="55">
        <v>31657</v>
      </c>
      <c r="D24" s="55">
        <v>56978</v>
      </c>
      <c r="E24" s="56" t="s">
        <v>70</v>
      </c>
      <c r="F24" s="56" t="s">
        <v>70</v>
      </c>
      <c r="G24" s="54"/>
    </row>
    <row r="25" spans="1:7">
      <c r="A25" s="54" t="s">
        <v>74</v>
      </c>
      <c r="B25" s="55">
        <v>580</v>
      </c>
      <c r="C25" s="55">
        <v>-836</v>
      </c>
      <c r="D25" s="55">
        <v>-2265</v>
      </c>
      <c r="E25" s="56" t="s">
        <v>70</v>
      </c>
      <c r="F25" s="56" t="s">
        <v>70</v>
      </c>
      <c r="G25" s="54"/>
    </row>
    <row r="26" spans="1:7">
      <c r="A26" s="54" t="s">
        <v>75</v>
      </c>
      <c r="B26" s="55">
        <v>-47722</v>
      </c>
      <c r="C26" s="55">
        <v>30821</v>
      </c>
      <c r="D26" s="55">
        <v>54713</v>
      </c>
      <c r="E26" s="55">
        <v>12801</v>
      </c>
      <c r="F26" s="55">
        <v>61222</v>
      </c>
      <c r="G26" s="54"/>
    </row>
    <row r="27" spans="1:7">
      <c r="A27" s="54" t="s">
        <v>76</v>
      </c>
      <c r="B27" s="55">
        <v>-5528</v>
      </c>
      <c r="C27" s="55">
        <v>-221</v>
      </c>
      <c r="D27" s="55">
        <v>2732</v>
      </c>
      <c r="E27" s="55">
        <v>17027</v>
      </c>
      <c r="F27" s="55">
        <v>29204</v>
      </c>
      <c r="G27" s="54"/>
    </row>
    <row r="28" spans="1:7">
      <c r="A28" s="54" t="s">
        <v>77</v>
      </c>
      <c r="B28" s="55">
        <v>1768</v>
      </c>
      <c r="C28" s="55">
        <v>2431</v>
      </c>
      <c r="D28" s="55">
        <v>493</v>
      </c>
      <c r="E28" s="55">
        <v>3096</v>
      </c>
      <c r="F28" s="55">
        <v>4706</v>
      </c>
      <c r="G28" s="54"/>
    </row>
    <row r="29" spans="1:7">
      <c r="A29" s="54" t="s">
        <v>78</v>
      </c>
      <c r="B29" s="55">
        <v>275</v>
      </c>
      <c r="C29" s="55">
        <v>-67</v>
      </c>
      <c r="D29" s="56" t="s">
        <v>70</v>
      </c>
      <c r="E29" s="56" t="s">
        <v>70</v>
      </c>
      <c r="F29" s="56" t="s">
        <v>70</v>
      </c>
      <c r="G29" s="54"/>
    </row>
    <row r="30" spans="1:7">
      <c r="A30" s="54" t="s">
        <v>79</v>
      </c>
      <c r="B30" s="55">
        <v>-3485</v>
      </c>
      <c r="C30" s="55">
        <v>2143</v>
      </c>
      <c r="D30" s="55">
        <v>3225</v>
      </c>
      <c r="E30" s="55">
        <v>20123</v>
      </c>
      <c r="F30" s="55">
        <v>33910</v>
      </c>
      <c r="G30" s="54"/>
    </row>
    <row r="31" spans="1:7">
      <c r="A31" s="54" t="s">
        <v>80</v>
      </c>
      <c r="B31" s="55">
        <v>17367</v>
      </c>
      <c r="C31" s="55">
        <v>-5464</v>
      </c>
      <c r="D31" s="55">
        <v>7917</v>
      </c>
      <c r="E31" s="55">
        <v>-6009</v>
      </c>
      <c r="F31" s="55">
        <v>-5458</v>
      </c>
      <c r="G31" s="54"/>
    </row>
    <row r="32" spans="1:7">
      <c r="A32" s="54" t="s">
        <v>81</v>
      </c>
      <c r="B32" s="55">
        <v>5773</v>
      </c>
      <c r="C32" s="55">
        <v>-2667</v>
      </c>
      <c r="D32" s="55">
        <v>-1329</v>
      </c>
      <c r="E32" s="55">
        <v>-719</v>
      </c>
      <c r="F32" s="55">
        <v>-411</v>
      </c>
      <c r="G32" s="54"/>
    </row>
    <row r="33" spans="1:7">
      <c r="A33" s="54" t="s">
        <v>82</v>
      </c>
      <c r="B33" s="55">
        <v>-260</v>
      </c>
      <c r="C33" s="55">
        <v>-72</v>
      </c>
      <c r="D33" s="56" t="s">
        <v>70</v>
      </c>
      <c r="E33" s="56" t="s">
        <v>70</v>
      </c>
      <c r="F33" s="56" t="s">
        <v>70</v>
      </c>
      <c r="G33" s="54"/>
    </row>
    <row r="34" spans="1:7">
      <c r="A34" s="54" t="s">
        <v>83</v>
      </c>
      <c r="B34" s="55">
        <v>22880</v>
      </c>
      <c r="C34" s="55">
        <v>-8203</v>
      </c>
      <c r="D34" s="55">
        <v>6588</v>
      </c>
      <c r="E34" s="55">
        <v>-6728</v>
      </c>
      <c r="F34" s="55">
        <v>-5869</v>
      </c>
      <c r="G34" s="54"/>
    </row>
    <row r="35" spans="1:7">
      <c r="A35" s="54" t="s">
        <v>84</v>
      </c>
      <c r="B35" s="55">
        <v>19395</v>
      </c>
      <c r="C35" s="55">
        <v>-6060</v>
      </c>
      <c r="D35" s="55">
        <v>9813</v>
      </c>
      <c r="E35" s="55">
        <v>13395</v>
      </c>
      <c r="F35" s="55">
        <v>28041</v>
      </c>
      <c r="G35" s="54"/>
    </row>
    <row r="36" spans="1:7">
      <c r="A36" s="54" t="s">
        <v>85</v>
      </c>
      <c r="B36" s="55">
        <v>-67117</v>
      </c>
      <c r="C36" s="55">
        <v>36881</v>
      </c>
      <c r="D36" s="55">
        <v>44900</v>
      </c>
      <c r="E36" s="55">
        <v>-594</v>
      </c>
      <c r="F36" s="55">
        <v>33181</v>
      </c>
      <c r="G36" s="54"/>
    </row>
    <row r="37" spans="1:7">
      <c r="A37" s="54" t="s">
        <v>86</v>
      </c>
      <c r="B37" s="56" t="s">
        <v>70</v>
      </c>
      <c r="C37" s="56" t="s">
        <v>70</v>
      </c>
      <c r="D37" s="55">
        <v>768</v>
      </c>
      <c r="E37" s="56" t="s">
        <v>70</v>
      </c>
      <c r="F37" s="55">
        <v>2533</v>
      </c>
      <c r="G37" s="54"/>
    </row>
    <row r="38" spans="1:7">
      <c r="A38" s="54" t="s">
        <v>87</v>
      </c>
      <c r="B38" s="56" t="s">
        <v>70</v>
      </c>
      <c r="C38" s="56" t="s">
        <v>70</v>
      </c>
      <c r="D38" s="55">
        <v>8591</v>
      </c>
      <c r="E38" s="56" t="s">
        <v>70</v>
      </c>
      <c r="F38" s="55">
        <v>22437</v>
      </c>
      <c r="G38" s="54"/>
    </row>
    <row r="39" spans="1:7">
      <c r="A39" s="54" t="s">
        <v>88</v>
      </c>
      <c r="B39" s="55">
        <v>-67117</v>
      </c>
      <c r="C39" s="55">
        <v>36863</v>
      </c>
      <c r="D39" s="55">
        <v>35541</v>
      </c>
      <c r="E39" s="55">
        <v>-594</v>
      </c>
      <c r="F39" s="55">
        <v>8211</v>
      </c>
      <c r="G39" s="54"/>
    </row>
    <row r="40" spans="1:7">
      <c r="A40" s="54" t="s">
        <v>89</v>
      </c>
      <c r="B40" s="57">
        <v>102383.28200000001</v>
      </c>
      <c r="C40" s="57">
        <v>100013.462</v>
      </c>
      <c r="D40" s="57">
        <v>75947.759000000005</v>
      </c>
      <c r="E40" s="57">
        <v>24973.931</v>
      </c>
      <c r="F40" s="58">
        <v>22729.89</v>
      </c>
      <c r="G40" s="54"/>
    </row>
    <row r="41" spans="1:7">
      <c r="A41" s="54" t="s">
        <v>90</v>
      </c>
      <c r="B41" s="57">
        <v>102383.28200000001</v>
      </c>
      <c r="C41" s="57">
        <v>103653.626</v>
      </c>
      <c r="D41" s="57">
        <v>81288.418000000005</v>
      </c>
      <c r="E41" s="57">
        <v>24973.931</v>
      </c>
      <c r="F41" s="57">
        <v>27882.844000000001</v>
      </c>
      <c r="G41" s="54"/>
    </row>
    <row r="42" spans="1:7">
      <c r="A42" s="54" t="s">
        <v>91</v>
      </c>
      <c r="B42" s="57">
        <v>103755.507</v>
      </c>
      <c r="C42" s="58">
        <v>101397.48</v>
      </c>
      <c r="D42" s="57">
        <v>98799.861000000004</v>
      </c>
      <c r="E42" s="57">
        <v>26834.535</v>
      </c>
      <c r="F42" s="57">
        <v>25873.434000000001</v>
      </c>
      <c r="G42" s="54"/>
    </row>
    <row r="43" spans="1:7">
      <c r="A43" s="54" t="s">
        <v>92</v>
      </c>
      <c r="B43" s="58">
        <v>-0.66</v>
      </c>
      <c r="C43" s="58">
        <v>0.37</v>
      </c>
      <c r="D43" s="58">
        <v>0.47</v>
      </c>
      <c r="E43" s="58">
        <v>-0.02</v>
      </c>
      <c r="F43" s="58">
        <v>0.36</v>
      </c>
      <c r="G43" s="54"/>
    </row>
    <row r="44" spans="1:7">
      <c r="A44" s="54" t="s">
        <v>93</v>
      </c>
      <c r="B44" s="58">
        <v>-0.66</v>
      </c>
      <c r="C44" s="58">
        <v>0.36</v>
      </c>
      <c r="D44" s="58">
        <v>0.34</v>
      </c>
      <c r="E44" s="58">
        <v>-0.02</v>
      </c>
      <c r="F44" s="58">
        <v>0.34</v>
      </c>
      <c r="G44" s="54"/>
    </row>
    <row r="45" spans="1:7">
      <c r="A45" s="54" t="s">
        <v>94</v>
      </c>
      <c r="B45" s="55">
        <v>8000</v>
      </c>
      <c r="C45" s="55">
        <v>8000</v>
      </c>
      <c r="D45" s="55">
        <v>6600</v>
      </c>
      <c r="E45" s="55">
        <v>5800</v>
      </c>
      <c r="F45" s="56" t="s">
        <v>70</v>
      </c>
      <c r="G45" s="54"/>
    </row>
    <row r="46" spans="1:7">
      <c r="A46" s="54" t="s">
        <v>95</v>
      </c>
      <c r="B46" s="55">
        <v>76</v>
      </c>
      <c r="C46" s="55">
        <v>85</v>
      </c>
      <c r="D46" s="55">
        <v>106</v>
      </c>
      <c r="E46" s="56" t="s">
        <v>70</v>
      </c>
      <c r="F46" s="56" t="s">
        <v>70</v>
      </c>
      <c r="G46" s="54"/>
    </row>
    <row r="47" spans="1:7">
      <c r="A47" s="54" t="s">
        <v>96</v>
      </c>
      <c r="B47" s="55">
        <v>2093</v>
      </c>
      <c r="C47" s="55">
        <v>-578</v>
      </c>
      <c r="D47" s="56" t="s">
        <v>70</v>
      </c>
      <c r="E47" s="56" t="s">
        <v>70</v>
      </c>
      <c r="F47" s="56" t="s">
        <v>70</v>
      </c>
      <c r="G47" s="54"/>
    </row>
    <row r="49" spans="1:6">
      <c r="A49" s="59" t="s">
        <v>178</v>
      </c>
    </row>
    <row r="50" spans="1:6">
      <c r="A50" t="s">
        <v>39</v>
      </c>
      <c r="B50" s="55">
        <f>SFIX_CFS!B24</f>
        <v>22617</v>
      </c>
      <c r="C50" s="55">
        <f>SFIX_CFS!C24</f>
        <v>14331</v>
      </c>
      <c r="D50" s="55">
        <f>SFIX_CFS!D24</f>
        <v>10542</v>
      </c>
      <c r="E50" s="55">
        <f>SFIX_CFS!E24</f>
        <v>7655</v>
      </c>
      <c r="F50" s="55">
        <f>SFIX_CFS!F24</f>
        <v>3544</v>
      </c>
    </row>
    <row r="51" spans="1:6">
      <c r="A51" t="s">
        <v>38</v>
      </c>
      <c r="B51" s="55">
        <f>SFIX_CFS!B35</f>
        <v>-30207</v>
      </c>
      <c r="C51" s="55">
        <f>SFIX_CFS!C35</f>
        <v>-30825</v>
      </c>
      <c r="D51" s="55">
        <f>SFIX_CFS!D35</f>
        <v>-16565</v>
      </c>
      <c r="E51" s="55">
        <f>SFIX_CFS!E35</f>
        <v>-17165</v>
      </c>
      <c r="F51" s="55">
        <f>SFIX_CFS!F35</f>
        <v>-15238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4E926-F75F-4448-83B5-510351E208EA}">
  <sheetPr codeName="Sheet3"/>
  <dimension ref="A4:G65"/>
  <sheetViews>
    <sheetView topLeftCell="A45" workbookViewId="0">
      <selection activeCell="A57" sqref="A48:A57"/>
    </sheetView>
  </sheetViews>
  <sheetFormatPr defaultRowHeight="12.5"/>
  <cols>
    <col min="1" max="1" width="50" customWidth="1"/>
    <col min="2" max="196" width="12" customWidth="1"/>
  </cols>
  <sheetData>
    <row r="4" spans="1:7">
      <c r="A4" s="48" t="s">
        <v>48</v>
      </c>
    </row>
    <row r="5" spans="1:7" ht="20">
      <c r="A5" s="49" t="s">
        <v>49</v>
      </c>
    </row>
    <row r="7" spans="1:7">
      <c r="A7" s="50" t="s">
        <v>50</v>
      </c>
    </row>
    <row r="10" spans="1:7" ht="13">
      <c r="A10" s="51" t="s">
        <v>97</v>
      </c>
      <c r="B10">
        <f>YEAR(B11)</f>
        <v>2020</v>
      </c>
      <c r="C10">
        <f t="shared" ref="C10:F10" si="0">YEAR(C11)</f>
        <v>2019</v>
      </c>
      <c r="D10">
        <f t="shared" si="0"/>
        <v>2018</v>
      </c>
      <c r="E10">
        <f t="shared" si="0"/>
        <v>2017</v>
      </c>
      <c r="F10">
        <f t="shared" si="0"/>
        <v>2016</v>
      </c>
    </row>
    <row r="11" spans="1:7" ht="13">
      <c r="A11" s="52" t="s">
        <v>52</v>
      </c>
      <c r="B11" s="53" t="s">
        <v>53</v>
      </c>
      <c r="C11" s="53" t="s">
        <v>54</v>
      </c>
      <c r="D11" s="53" t="s">
        <v>55</v>
      </c>
      <c r="E11" s="53" t="s">
        <v>56</v>
      </c>
      <c r="F11" s="53" t="s">
        <v>57</v>
      </c>
      <c r="G11" s="52"/>
    </row>
    <row r="12" spans="1:7" ht="13">
      <c r="A12" s="52" t="s">
        <v>58</v>
      </c>
      <c r="B12" s="53" t="s">
        <v>59</v>
      </c>
      <c r="C12" s="53" t="s">
        <v>59</v>
      </c>
      <c r="D12" s="53" t="s">
        <v>59</v>
      </c>
      <c r="E12" s="53" t="s">
        <v>59</v>
      </c>
      <c r="F12" s="53" t="s">
        <v>59</v>
      </c>
      <c r="G12" s="52"/>
    </row>
    <row r="13" spans="1:7" ht="13">
      <c r="A13" s="52" t="s">
        <v>60</v>
      </c>
      <c r="B13" s="53" t="s">
        <v>61</v>
      </c>
      <c r="C13" s="53" t="s">
        <v>61</v>
      </c>
      <c r="D13" s="53" t="s">
        <v>61</v>
      </c>
      <c r="E13" s="53" t="s">
        <v>61</v>
      </c>
      <c r="F13" s="53" t="s">
        <v>61</v>
      </c>
      <c r="G13" s="52"/>
    </row>
    <row r="14" spans="1:7" ht="13">
      <c r="A14" s="52" t="s">
        <v>62</v>
      </c>
      <c r="B14" s="53" t="s">
        <v>63</v>
      </c>
      <c r="C14" s="53" t="s">
        <v>63</v>
      </c>
      <c r="D14" s="53" t="s">
        <v>63</v>
      </c>
      <c r="E14" s="53" t="s">
        <v>63</v>
      </c>
      <c r="F14" s="53" t="s">
        <v>63</v>
      </c>
      <c r="G14" s="52"/>
    </row>
    <row r="15" spans="1:7" ht="13">
      <c r="A15" s="52" t="s">
        <v>64</v>
      </c>
      <c r="B15" s="53" t="s">
        <v>65</v>
      </c>
      <c r="C15" s="53" t="s">
        <v>65</v>
      </c>
      <c r="D15" s="53" t="s">
        <v>65</v>
      </c>
      <c r="E15" s="53" t="s">
        <v>65</v>
      </c>
      <c r="F15" s="53" t="s">
        <v>65</v>
      </c>
      <c r="G15" s="52"/>
    </row>
    <row r="16" spans="1:7">
      <c r="A16" s="54" t="s">
        <v>98</v>
      </c>
      <c r="B16" s="56" t="s">
        <v>70</v>
      </c>
      <c r="C16" s="56" t="s">
        <v>70</v>
      </c>
      <c r="D16" s="56" t="s">
        <v>70</v>
      </c>
      <c r="E16" s="55">
        <v>110608</v>
      </c>
      <c r="F16" s="55">
        <v>91488</v>
      </c>
      <c r="G16" s="54"/>
    </row>
    <row r="17" spans="1:7">
      <c r="A17" s="54" t="s">
        <v>15</v>
      </c>
      <c r="B17" s="55">
        <v>143455</v>
      </c>
      <c r="C17" s="55">
        <v>170932</v>
      </c>
      <c r="D17" s="55">
        <v>297516</v>
      </c>
      <c r="E17" s="55">
        <v>110608</v>
      </c>
      <c r="F17" s="55">
        <v>91488</v>
      </c>
      <c r="G17" s="54"/>
    </row>
    <row r="18" spans="1:7">
      <c r="A18" s="54" t="s">
        <v>99</v>
      </c>
      <c r="B18" s="56" t="s">
        <v>70</v>
      </c>
      <c r="C18" s="56" t="s">
        <v>70</v>
      </c>
      <c r="D18" s="55">
        <v>250</v>
      </c>
      <c r="E18" s="55">
        <v>250</v>
      </c>
      <c r="F18" s="55">
        <v>1391</v>
      </c>
      <c r="G18" s="54"/>
    </row>
    <row r="19" spans="1:7">
      <c r="A19" s="54" t="s">
        <v>14</v>
      </c>
      <c r="B19" s="55">
        <v>143037</v>
      </c>
      <c r="C19" s="55">
        <v>143276</v>
      </c>
      <c r="D19" s="56"/>
      <c r="E19" s="56"/>
      <c r="F19" s="56"/>
      <c r="G19" s="54"/>
    </row>
    <row r="20" spans="1:7">
      <c r="A20" s="54" t="s">
        <v>100</v>
      </c>
      <c r="B20" s="55">
        <v>124816</v>
      </c>
      <c r="C20" s="55">
        <v>118216</v>
      </c>
      <c r="D20" s="55">
        <v>85092</v>
      </c>
      <c r="E20" s="55">
        <v>67592</v>
      </c>
      <c r="F20" s="55">
        <v>44808</v>
      </c>
      <c r="G20" s="54"/>
    </row>
    <row r="21" spans="1:7">
      <c r="A21" s="54" t="s">
        <v>101</v>
      </c>
      <c r="B21" s="55">
        <v>55002</v>
      </c>
      <c r="C21" s="55">
        <v>49980</v>
      </c>
      <c r="D21" s="55">
        <v>34148</v>
      </c>
      <c r="E21" s="55">
        <v>19312</v>
      </c>
      <c r="F21" s="55">
        <v>10585</v>
      </c>
      <c r="G21" s="54"/>
    </row>
    <row r="22" spans="1:7">
      <c r="A22" s="54" t="s">
        <v>16</v>
      </c>
      <c r="B22" s="55">
        <v>466310</v>
      </c>
      <c r="C22" s="55">
        <v>482404</v>
      </c>
      <c r="D22" s="55">
        <v>417006</v>
      </c>
      <c r="E22" s="55">
        <v>197762</v>
      </c>
      <c r="F22" s="55">
        <v>148272</v>
      </c>
      <c r="G22" s="54"/>
    </row>
    <row r="23" spans="1:7">
      <c r="A23" s="54" t="s">
        <v>102</v>
      </c>
      <c r="B23" s="55">
        <v>95097</v>
      </c>
      <c r="C23" s="55">
        <v>53372</v>
      </c>
      <c r="D23" s="56" t="s">
        <v>70</v>
      </c>
      <c r="E23" s="56" t="s">
        <v>70</v>
      </c>
      <c r="F23" s="56" t="s">
        <v>70</v>
      </c>
      <c r="G23" s="54"/>
    </row>
    <row r="24" spans="1:7">
      <c r="A24" s="54" t="s">
        <v>103</v>
      </c>
      <c r="B24" s="55">
        <v>5967</v>
      </c>
      <c r="C24" s="55">
        <v>3647</v>
      </c>
      <c r="D24" s="55">
        <v>2920</v>
      </c>
      <c r="E24" s="55">
        <v>5086</v>
      </c>
      <c r="F24" s="55">
        <v>3440</v>
      </c>
      <c r="G24" s="54"/>
    </row>
    <row r="25" spans="1:7">
      <c r="A25" s="54" t="s">
        <v>104</v>
      </c>
      <c r="B25" s="55">
        <v>26695</v>
      </c>
      <c r="C25" s="55">
        <v>18010</v>
      </c>
      <c r="D25" s="55">
        <v>9829</v>
      </c>
      <c r="E25" s="55">
        <v>4514</v>
      </c>
      <c r="F25" s="55">
        <v>2341</v>
      </c>
      <c r="G25" s="54"/>
    </row>
    <row r="26" spans="1:7">
      <c r="A26" s="54" t="s">
        <v>105</v>
      </c>
      <c r="B26" s="55">
        <v>37570</v>
      </c>
      <c r="C26" s="55">
        <v>27967</v>
      </c>
      <c r="D26" s="55">
        <v>16091</v>
      </c>
      <c r="E26" s="55">
        <v>14693</v>
      </c>
      <c r="F26" s="55">
        <v>6974</v>
      </c>
      <c r="G26" s="54"/>
    </row>
    <row r="27" spans="1:7">
      <c r="A27" s="54" t="s">
        <v>106</v>
      </c>
      <c r="B27" s="55">
        <v>47151</v>
      </c>
      <c r="C27" s="55">
        <v>34571</v>
      </c>
      <c r="D27" s="55">
        <v>24982</v>
      </c>
      <c r="E27" s="55">
        <v>11481</v>
      </c>
      <c r="F27" s="55">
        <v>6443</v>
      </c>
      <c r="G27" s="54"/>
    </row>
    <row r="28" spans="1:7">
      <c r="A28" s="54" t="s">
        <v>107</v>
      </c>
      <c r="B28" s="55">
        <v>5973</v>
      </c>
      <c r="C28" s="55">
        <v>1381</v>
      </c>
      <c r="D28" s="55">
        <v>356</v>
      </c>
      <c r="E28" s="55">
        <v>1618</v>
      </c>
      <c r="F28" s="55">
        <v>4199</v>
      </c>
      <c r="G28" s="54"/>
    </row>
    <row r="29" spans="1:7">
      <c r="A29" s="54" t="s">
        <v>108</v>
      </c>
      <c r="B29" s="55">
        <v>430</v>
      </c>
      <c r="C29" s="55">
        <v>402</v>
      </c>
      <c r="D29" s="55">
        <v>402</v>
      </c>
      <c r="E29" s="56" t="s">
        <v>70</v>
      </c>
      <c r="F29" s="56" t="s">
        <v>70</v>
      </c>
      <c r="G29" s="54"/>
    </row>
    <row r="30" spans="1:7">
      <c r="A30" s="54" t="s">
        <v>109</v>
      </c>
      <c r="B30" s="55">
        <v>123786</v>
      </c>
      <c r="C30" s="55">
        <v>85978</v>
      </c>
      <c r="D30" s="55">
        <v>54580</v>
      </c>
      <c r="E30" s="55">
        <v>37392</v>
      </c>
      <c r="F30" s="55">
        <v>23397</v>
      </c>
      <c r="G30" s="54"/>
    </row>
    <row r="31" spans="1:7">
      <c r="A31" s="54" t="s">
        <v>110</v>
      </c>
      <c r="B31" s="55">
        <v>53417</v>
      </c>
      <c r="C31" s="55">
        <v>31090</v>
      </c>
      <c r="D31" s="55">
        <v>20411</v>
      </c>
      <c r="E31" s="55">
        <v>10659</v>
      </c>
      <c r="F31" s="55">
        <v>4246</v>
      </c>
      <c r="G31" s="54"/>
    </row>
    <row r="32" spans="1:7">
      <c r="A32" s="54" t="s">
        <v>111</v>
      </c>
      <c r="B32" s="55">
        <v>70369</v>
      </c>
      <c r="C32" s="55">
        <v>54888</v>
      </c>
      <c r="D32" s="55">
        <v>34169</v>
      </c>
      <c r="E32" s="55">
        <v>26733</v>
      </c>
      <c r="F32" s="55">
        <v>19151</v>
      </c>
      <c r="G32" s="54"/>
    </row>
    <row r="33" spans="1:7">
      <c r="A33" s="54" t="s">
        <v>112</v>
      </c>
      <c r="B33" s="55">
        <v>132615</v>
      </c>
      <c r="C33" s="56"/>
      <c r="D33" s="56"/>
      <c r="E33" s="56"/>
      <c r="F33" s="56"/>
      <c r="G33" s="54"/>
    </row>
    <row r="34" spans="1:7">
      <c r="A34" s="54" t="s">
        <v>113</v>
      </c>
      <c r="B34" s="55">
        <v>333</v>
      </c>
      <c r="C34" s="55">
        <v>22175</v>
      </c>
      <c r="D34" s="55">
        <v>14107</v>
      </c>
      <c r="E34" s="55">
        <v>19991</v>
      </c>
      <c r="F34" s="55">
        <v>13201</v>
      </c>
      <c r="G34" s="54"/>
    </row>
    <row r="35" spans="1:7">
      <c r="A35" s="54" t="s">
        <v>114</v>
      </c>
      <c r="B35" s="56" t="s">
        <v>70</v>
      </c>
      <c r="C35" s="56" t="s">
        <v>70</v>
      </c>
      <c r="D35" s="55">
        <v>12600</v>
      </c>
      <c r="E35" s="55">
        <v>9100</v>
      </c>
      <c r="F35" s="55">
        <v>8613</v>
      </c>
      <c r="G35" s="54"/>
    </row>
    <row r="36" spans="1:7">
      <c r="A36" s="54" t="s">
        <v>115</v>
      </c>
      <c r="B36" s="55">
        <v>4705</v>
      </c>
      <c r="C36" s="55">
        <v>3227</v>
      </c>
      <c r="D36" s="55">
        <v>3703</v>
      </c>
      <c r="E36" s="55">
        <v>3619</v>
      </c>
      <c r="F36" s="55">
        <v>2363</v>
      </c>
      <c r="G36" s="54"/>
    </row>
    <row r="37" spans="1:7">
      <c r="A37" s="54" t="s">
        <v>116</v>
      </c>
      <c r="B37" s="55">
        <v>769429</v>
      </c>
      <c r="C37" s="55">
        <v>616066</v>
      </c>
      <c r="D37" s="55">
        <v>481585</v>
      </c>
      <c r="E37" s="55">
        <v>257205</v>
      </c>
      <c r="F37" s="55">
        <v>191600</v>
      </c>
      <c r="G37" s="54"/>
    </row>
    <row r="38" spans="1:7">
      <c r="A38" s="54" t="s">
        <v>117</v>
      </c>
      <c r="B38" s="55">
        <v>85177</v>
      </c>
      <c r="C38" s="55">
        <v>90883</v>
      </c>
      <c r="D38" s="55">
        <v>79782</v>
      </c>
      <c r="E38" s="55">
        <v>44238</v>
      </c>
      <c r="F38" s="55">
        <v>36588</v>
      </c>
      <c r="G38" s="54"/>
    </row>
    <row r="39" spans="1:7">
      <c r="A39" s="54" t="s">
        <v>118</v>
      </c>
      <c r="B39" s="55">
        <v>24333</v>
      </c>
      <c r="C39" s="56"/>
      <c r="D39" s="56"/>
      <c r="E39" s="56"/>
      <c r="F39" s="56"/>
      <c r="G39" s="54"/>
    </row>
    <row r="40" spans="1:7">
      <c r="A40" s="54" t="s">
        <v>119</v>
      </c>
      <c r="B40" s="55">
        <v>11987</v>
      </c>
      <c r="C40" s="55">
        <v>9494</v>
      </c>
      <c r="D40" s="55">
        <v>10680</v>
      </c>
      <c r="E40" s="55">
        <v>9632</v>
      </c>
      <c r="F40" s="55">
        <v>7673</v>
      </c>
      <c r="G40" s="54"/>
    </row>
    <row r="41" spans="1:7">
      <c r="A41" s="54" t="s">
        <v>120</v>
      </c>
      <c r="B41" s="55">
        <v>14979</v>
      </c>
      <c r="C41" s="55">
        <v>12922</v>
      </c>
      <c r="D41" s="55">
        <v>10456</v>
      </c>
      <c r="E41" s="55">
        <v>9995</v>
      </c>
      <c r="F41" s="55">
        <v>2831</v>
      </c>
      <c r="G41" s="54"/>
    </row>
    <row r="42" spans="1:7">
      <c r="A42" s="54" t="s">
        <v>121</v>
      </c>
      <c r="B42" s="55">
        <v>7134</v>
      </c>
      <c r="C42" s="55">
        <v>6956</v>
      </c>
      <c r="D42" s="55">
        <v>7066</v>
      </c>
      <c r="E42" s="55">
        <v>3702</v>
      </c>
      <c r="F42" s="55">
        <v>2646</v>
      </c>
      <c r="G42" s="54"/>
    </row>
    <row r="43" spans="1:7">
      <c r="A43" s="54" t="s">
        <v>122</v>
      </c>
      <c r="B43" s="55">
        <v>8624</v>
      </c>
      <c r="C43" s="55">
        <v>7045</v>
      </c>
      <c r="D43" s="55">
        <v>4801</v>
      </c>
      <c r="E43" s="55">
        <v>3390</v>
      </c>
      <c r="F43" s="55">
        <v>4517</v>
      </c>
      <c r="G43" s="54"/>
    </row>
    <row r="44" spans="1:7">
      <c r="A44" s="54" t="s">
        <v>123</v>
      </c>
      <c r="B44" s="55">
        <v>5892</v>
      </c>
      <c r="C44" s="55">
        <v>7550</v>
      </c>
      <c r="D44" s="55">
        <v>4567</v>
      </c>
      <c r="E44" s="56" t="s">
        <v>70</v>
      </c>
      <c r="F44" s="56" t="s">
        <v>70</v>
      </c>
      <c r="G44" s="54"/>
    </row>
    <row r="45" spans="1:7">
      <c r="A45" s="54" t="s">
        <v>124</v>
      </c>
      <c r="B45" s="55">
        <v>15427</v>
      </c>
      <c r="C45" s="55">
        <v>15703</v>
      </c>
      <c r="D45" s="55">
        <v>506</v>
      </c>
      <c r="E45" s="55">
        <v>11186</v>
      </c>
      <c r="F45" s="55">
        <v>6302</v>
      </c>
      <c r="G45" s="54"/>
    </row>
    <row r="46" spans="1:7">
      <c r="A46" s="54" t="s">
        <v>125</v>
      </c>
      <c r="B46" s="56" t="s">
        <v>70</v>
      </c>
      <c r="C46" s="56" t="s">
        <v>70</v>
      </c>
      <c r="D46" s="56" t="s">
        <v>70</v>
      </c>
      <c r="E46" s="56" t="s">
        <v>70</v>
      </c>
      <c r="F46" s="55">
        <v>1656</v>
      </c>
      <c r="G46" s="54"/>
    </row>
    <row r="47" spans="1:7">
      <c r="A47" s="54" t="s">
        <v>126</v>
      </c>
      <c r="B47" s="55">
        <v>13547</v>
      </c>
      <c r="C47" s="55">
        <v>10064</v>
      </c>
      <c r="D47" s="55">
        <v>4961</v>
      </c>
      <c r="E47" s="55">
        <v>8458</v>
      </c>
      <c r="F47" s="55">
        <v>4348</v>
      </c>
      <c r="G47" s="54"/>
    </row>
    <row r="48" spans="1:7">
      <c r="A48" s="54" t="s">
        <v>127</v>
      </c>
      <c r="B48" s="55">
        <v>77590</v>
      </c>
      <c r="C48" s="55">
        <v>69734</v>
      </c>
      <c r="D48" s="55">
        <v>43037</v>
      </c>
      <c r="E48" s="55">
        <v>46363</v>
      </c>
      <c r="F48" s="55">
        <v>29973</v>
      </c>
      <c r="G48" s="54"/>
    </row>
    <row r="49" spans="1:7">
      <c r="A49" s="54" t="s">
        <v>128</v>
      </c>
      <c r="B49" s="56" t="s">
        <v>70</v>
      </c>
      <c r="C49" s="56" t="s">
        <v>70</v>
      </c>
      <c r="D49" s="56" t="s">
        <v>70</v>
      </c>
      <c r="E49" s="55">
        <v>26679</v>
      </c>
      <c r="F49" s="55">
        <v>7798</v>
      </c>
      <c r="G49" s="54"/>
    </row>
    <row r="50" spans="1:7">
      <c r="A50" s="54" t="s">
        <v>129</v>
      </c>
      <c r="B50" s="55">
        <v>8590</v>
      </c>
      <c r="C50" s="55">
        <v>7233</v>
      </c>
      <c r="D50" s="55">
        <v>6814</v>
      </c>
      <c r="E50" s="55">
        <v>5190</v>
      </c>
      <c r="F50" s="55">
        <v>3197</v>
      </c>
      <c r="G50" s="54"/>
    </row>
    <row r="51" spans="1:7">
      <c r="A51" s="54" t="s">
        <v>130</v>
      </c>
      <c r="B51" s="55">
        <v>13059</v>
      </c>
      <c r="C51" s="55">
        <v>11997</v>
      </c>
      <c r="D51" s="55">
        <v>8870</v>
      </c>
      <c r="E51" s="55">
        <v>7150</v>
      </c>
      <c r="F51" s="55">
        <v>4431</v>
      </c>
      <c r="G51" s="54"/>
    </row>
    <row r="52" spans="1:7">
      <c r="A52" s="54" t="s">
        <v>131</v>
      </c>
      <c r="B52" s="55">
        <v>3406</v>
      </c>
      <c r="C52" s="55">
        <v>2784</v>
      </c>
      <c r="D52" s="55">
        <v>3729</v>
      </c>
      <c r="E52" s="55">
        <v>4298</v>
      </c>
      <c r="F52" s="55">
        <v>3086</v>
      </c>
      <c r="G52" s="54"/>
    </row>
    <row r="53" spans="1:7">
      <c r="A53" s="54" t="s">
        <v>12</v>
      </c>
      <c r="B53" s="55">
        <v>212155</v>
      </c>
      <c r="C53" s="55">
        <v>182631</v>
      </c>
      <c r="D53" s="55">
        <v>142232</v>
      </c>
      <c r="E53" s="55">
        <v>133918</v>
      </c>
      <c r="F53" s="55">
        <v>85073</v>
      </c>
      <c r="G53" s="54"/>
    </row>
    <row r="54" spans="1:7">
      <c r="A54" s="54" t="s">
        <v>132</v>
      </c>
      <c r="B54" s="55">
        <v>140175</v>
      </c>
      <c r="C54" s="56" t="s">
        <v>70</v>
      </c>
      <c r="D54" s="56" t="s">
        <v>70</v>
      </c>
      <c r="E54" s="56" t="s">
        <v>70</v>
      </c>
      <c r="F54" s="56" t="s">
        <v>70</v>
      </c>
      <c r="G54" s="54"/>
    </row>
    <row r="55" spans="1:7">
      <c r="A55" s="54" t="s">
        <v>133</v>
      </c>
      <c r="B55" s="56" t="s">
        <v>70</v>
      </c>
      <c r="C55" s="55">
        <v>24439</v>
      </c>
      <c r="D55" s="55">
        <v>15288</v>
      </c>
      <c r="E55" s="55">
        <v>11781</v>
      </c>
      <c r="F55" s="55">
        <v>9541</v>
      </c>
      <c r="G55" s="54"/>
    </row>
    <row r="56" spans="1:7">
      <c r="A56" s="54" t="s">
        <v>134</v>
      </c>
      <c r="B56" s="55">
        <v>16062</v>
      </c>
      <c r="C56" s="55">
        <v>12996</v>
      </c>
      <c r="D56" s="55">
        <v>8993</v>
      </c>
      <c r="E56" s="55">
        <v>7423</v>
      </c>
      <c r="F56" s="55">
        <v>4817</v>
      </c>
      <c r="G56" s="54"/>
    </row>
    <row r="57" spans="1:7">
      <c r="A57" s="54" t="s">
        <v>135</v>
      </c>
      <c r="B57" s="55">
        <v>368392</v>
      </c>
      <c r="C57" s="55">
        <v>220066</v>
      </c>
      <c r="D57" s="55">
        <v>166513</v>
      </c>
      <c r="E57" s="55">
        <v>153122</v>
      </c>
      <c r="F57" s="55">
        <v>99431</v>
      </c>
      <c r="G57" s="54"/>
    </row>
    <row r="58" spans="1:7">
      <c r="A58" s="54" t="s">
        <v>136</v>
      </c>
      <c r="B58" s="56" t="s">
        <v>70</v>
      </c>
      <c r="C58" s="56" t="s">
        <v>70</v>
      </c>
      <c r="D58" s="56" t="s">
        <v>70</v>
      </c>
      <c r="E58" s="55">
        <v>42222</v>
      </c>
      <c r="F58" s="55">
        <v>42222</v>
      </c>
      <c r="G58" s="54"/>
    </row>
    <row r="59" spans="1:7">
      <c r="A59" s="54" t="s">
        <v>137</v>
      </c>
      <c r="B59" s="55">
        <v>1</v>
      </c>
      <c r="C59" s="55">
        <v>1</v>
      </c>
      <c r="D59" s="55">
        <v>1</v>
      </c>
      <c r="E59" s="56" t="s">
        <v>70</v>
      </c>
      <c r="F59" s="56" t="s">
        <v>70</v>
      </c>
      <c r="G59" s="54"/>
    </row>
    <row r="60" spans="1:7">
      <c r="A60" s="54" t="s">
        <v>138</v>
      </c>
      <c r="B60" s="55">
        <v>1</v>
      </c>
      <c r="C60" s="55">
        <v>1</v>
      </c>
      <c r="D60" s="55">
        <v>1</v>
      </c>
      <c r="E60" s="56" t="s">
        <v>70</v>
      </c>
      <c r="F60" s="56" t="s">
        <v>70</v>
      </c>
      <c r="G60" s="54"/>
    </row>
    <row r="61" spans="1:7">
      <c r="A61" s="54" t="s">
        <v>139</v>
      </c>
      <c r="B61" s="56" t="s">
        <v>70</v>
      </c>
      <c r="C61" s="56" t="s">
        <v>70</v>
      </c>
      <c r="D61" s="56" t="s">
        <v>70</v>
      </c>
      <c r="E61" s="55">
        <v>1</v>
      </c>
      <c r="F61" s="56" t="s">
        <v>70</v>
      </c>
      <c r="G61" s="54"/>
    </row>
    <row r="62" spans="1:7">
      <c r="A62" s="54" t="s">
        <v>140</v>
      </c>
      <c r="B62" s="55">
        <v>348750</v>
      </c>
      <c r="C62" s="55">
        <v>279511</v>
      </c>
      <c r="D62" s="55">
        <v>235312</v>
      </c>
      <c r="E62" s="55">
        <v>27002</v>
      </c>
      <c r="F62" s="55">
        <v>10938</v>
      </c>
      <c r="G62" s="54"/>
    </row>
    <row r="63" spans="1:7">
      <c r="A63" s="54" t="s">
        <v>141</v>
      </c>
      <c r="B63" s="55">
        <v>2728</v>
      </c>
      <c r="C63" s="55">
        <v>-187</v>
      </c>
      <c r="D63" s="56" t="s">
        <v>70</v>
      </c>
      <c r="E63" s="56" t="s">
        <v>70</v>
      </c>
      <c r="F63" s="56" t="s">
        <v>70</v>
      </c>
      <c r="G63" s="54"/>
    </row>
    <row r="64" spans="1:7">
      <c r="A64" s="54" t="s">
        <v>142</v>
      </c>
      <c r="B64" s="55">
        <v>49557</v>
      </c>
      <c r="C64" s="55">
        <v>116674</v>
      </c>
      <c r="D64" s="55">
        <v>79758</v>
      </c>
      <c r="E64" s="55">
        <v>34858</v>
      </c>
      <c r="F64" s="55">
        <v>39009</v>
      </c>
      <c r="G64" s="54"/>
    </row>
    <row r="65" spans="1:7">
      <c r="A65" s="54" t="s">
        <v>143</v>
      </c>
      <c r="B65" s="55">
        <v>401037</v>
      </c>
      <c r="C65" s="55">
        <v>396000</v>
      </c>
      <c r="D65" s="55">
        <v>315072</v>
      </c>
      <c r="E65" s="55">
        <v>61861</v>
      </c>
      <c r="F65" s="55">
        <v>49947</v>
      </c>
      <c r="G65" s="5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6808-8092-4376-A3B4-F07AE2818D22}">
  <sheetPr codeName="Sheet4"/>
  <dimension ref="A4:G53"/>
  <sheetViews>
    <sheetView workbookViewId="0"/>
  </sheetViews>
  <sheetFormatPr defaultRowHeight="12.5"/>
  <cols>
    <col min="1" max="1" width="50" customWidth="1"/>
    <col min="2" max="196" width="12" customWidth="1"/>
  </cols>
  <sheetData>
    <row r="4" spans="1:7">
      <c r="A4" s="48" t="s">
        <v>48</v>
      </c>
    </row>
    <row r="5" spans="1:7" ht="20">
      <c r="A5" s="49" t="s">
        <v>49</v>
      </c>
    </row>
    <row r="7" spans="1:7">
      <c r="A7" s="50" t="s">
        <v>50</v>
      </c>
    </row>
    <row r="10" spans="1:7" ht="13">
      <c r="A10" s="51" t="s">
        <v>144</v>
      </c>
    </row>
    <row r="11" spans="1:7" ht="13">
      <c r="A11" s="52" t="s">
        <v>52</v>
      </c>
      <c r="B11" s="53" t="s">
        <v>53</v>
      </c>
      <c r="C11" s="53" t="s">
        <v>54</v>
      </c>
      <c r="D11" s="53" t="s">
        <v>55</v>
      </c>
      <c r="E11" s="53" t="s">
        <v>56</v>
      </c>
      <c r="F11" s="53" t="s">
        <v>57</v>
      </c>
      <c r="G11" s="52"/>
    </row>
    <row r="12" spans="1:7" ht="13">
      <c r="A12" s="52" t="s">
        <v>58</v>
      </c>
      <c r="B12" s="53" t="s">
        <v>59</v>
      </c>
      <c r="C12" s="53" t="s">
        <v>59</v>
      </c>
      <c r="D12" s="53" t="s">
        <v>59</v>
      </c>
      <c r="E12" s="53" t="s">
        <v>59</v>
      </c>
      <c r="F12" s="53" t="s">
        <v>59</v>
      </c>
      <c r="G12" s="52"/>
    </row>
    <row r="13" spans="1:7" ht="13">
      <c r="A13" s="52" t="s">
        <v>60</v>
      </c>
      <c r="B13" s="53" t="s">
        <v>61</v>
      </c>
      <c r="C13" s="53" t="s">
        <v>61</v>
      </c>
      <c r="D13" s="53" t="s">
        <v>61</v>
      </c>
      <c r="E13" s="53" t="s">
        <v>61</v>
      </c>
      <c r="F13" s="53" t="s">
        <v>61</v>
      </c>
      <c r="G13" s="52"/>
    </row>
    <row r="14" spans="1:7" ht="13">
      <c r="A14" s="52" t="s">
        <v>62</v>
      </c>
      <c r="B14" s="53" t="s">
        <v>63</v>
      </c>
      <c r="C14" s="53" t="s">
        <v>63</v>
      </c>
      <c r="D14" s="53" t="s">
        <v>63</v>
      </c>
      <c r="E14" s="53" t="s">
        <v>63</v>
      </c>
      <c r="F14" s="53" t="s">
        <v>63</v>
      </c>
      <c r="G14" s="52"/>
    </row>
    <row r="15" spans="1:7" ht="13">
      <c r="A15" s="52" t="s">
        <v>64</v>
      </c>
      <c r="B15" s="53" t="s">
        <v>65</v>
      </c>
      <c r="C15" s="53" t="s">
        <v>65</v>
      </c>
      <c r="D15" s="53" t="s">
        <v>65</v>
      </c>
      <c r="E15" s="53" t="s">
        <v>65</v>
      </c>
      <c r="F15" s="53" t="s">
        <v>65</v>
      </c>
      <c r="G15" s="52"/>
    </row>
    <row r="16" spans="1:7">
      <c r="A16" s="54" t="s">
        <v>145</v>
      </c>
      <c r="B16" s="55">
        <v>-67117</v>
      </c>
      <c r="C16" s="55">
        <v>36881</v>
      </c>
      <c r="D16" s="55">
        <v>44900</v>
      </c>
      <c r="E16" s="55">
        <v>-594</v>
      </c>
      <c r="F16" s="55">
        <v>33181</v>
      </c>
      <c r="G16" s="54"/>
    </row>
    <row r="17" spans="1:7">
      <c r="A17" s="54" t="s">
        <v>146</v>
      </c>
      <c r="B17" s="55">
        <v>-20273</v>
      </c>
      <c r="C17" s="55">
        <v>-8203</v>
      </c>
      <c r="D17" s="55">
        <v>6588</v>
      </c>
      <c r="E17" s="55">
        <v>-6728</v>
      </c>
      <c r="F17" s="55">
        <v>-5869</v>
      </c>
      <c r="G17" s="54"/>
    </row>
    <row r="18" spans="1:7">
      <c r="A18" s="54" t="s">
        <v>147</v>
      </c>
      <c r="B18" s="55">
        <v>43153</v>
      </c>
      <c r="C18" s="56" t="s">
        <v>70</v>
      </c>
      <c r="D18" s="56" t="s">
        <v>70</v>
      </c>
      <c r="E18" s="56" t="s">
        <v>70</v>
      </c>
      <c r="F18" s="56" t="s">
        <v>70</v>
      </c>
      <c r="G18" s="54"/>
    </row>
    <row r="19" spans="1:7">
      <c r="A19" s="54" t="s">
        <v>69</v>
      </c>
      <c r="B19" s="56" t="s">
        <v>70</v>
      </c>
      <c r="C19" s="56" t="s">
        <v>70</v>
      </c>
      <c r="D19" s="55">
        <v>-10685</v>
      </c>
      <c r="E19" s="55">
        <v>18881</v>
      </c>
      <c r="F19" s="55">
        <v>3019</v>
      </c>
      <c r="G19" s="54"/>
    </row>
    <row r="20" spans="1:7">
      <c r="A20" s="54" t="s">
        <v>148</v>
      </c>
      <c r="B20" s="55">
        <v>8828</v>
      </c>
      <c r="C20" s="55">
        <v>7974</v>
      </c>
      <c r="D20" s="55">
        <v>1916</v>
      </c>
      <c r="E20" s="55">
        <v>3591</v>
      </c>
      <c r="F20" s="55">
        <v>5941</v>
      </c>
      <c r="G20" s="54"/>
    </row>
    <row r="21" spans="1:7">
      <c r="A21" s="54" t="s">
        <v>149</v>
      </c>
      <c r="B21" s="56" t="s">
        <v>70</v>
      </c>
      <c r="C21" s="56" t="s">
        <v>70</v>
      </c>
      <c r="D21" s="56" t="s">
        <v>70</v>
      </c>
      <c r="E21" s="55">
        <v>9699</v>
      </c>
      <c r="F21" s="55">
        <v>4810</v>
      </c>
      <c r="G21" s="54"/>
    </row>
    <row r="22" spans="1:7">
      <c r="A22" s="54" t="s">
        <v>150</v>
      </c>
      <c r="B22" s="55">
        <v>67530</v>
      </c>
      <c r="C22" s="55">
        <v>35256</v>
      </c>
      <c r="D22" s="55">
        <v>15403</v>
      </c>
      <c r="E22" s="55">
        <v>3545</v>
      </c>
      <c r="F22" s="55">
        <v>1850</v>
      </c>
      <c r="G22" s="54"/>
    </row>
    <row r="23" spans="1:7">
      <c r="A23" s="54" t="s">
        <v>151</v>
      </c>
      <c r="B23" s="56" t="s">
        <v>70</v>
      </c>
      <c r="C23" s="56" t="s">
        <v>70</v>
      </c>
      <c r="D23" s="56" t="s">
        <v>70</v>
      </c>
      <c r="E23" s="55">
        <v>-62</v>
      </c>
      <c r="F23" s="55">
        <v>-63</v>
      </c>
      <c r="G23" s="54"/>
    </row>
    <row r="24" spans="1:7">
      <c r="A24" s="54" t="s">
        <v>152</v>
      </c>
      <c r="B24" s="55">
        <v>22617</v>
      </c>
      <c r="C24" s="55">
        <v>14331</v>
      </c>
      <c r="D24" s="55">
        <v>10542</v>
      </c>
      <c r="E24" s="55">
        <v>7655</v>
      </c>
      <c r="F24" s="55">
        <v>3544</v>
      </c>
      <c r="G24" s="54"/>
    </row>
    <row r="25" spans="1:7">
      <c r="A25" s="54" t="s">
        <v>153</v>
      </c>
      <c r="B25" s="55">
        <v>882</v>
      </c>
      <c r="C25" s="55">
        <v>148</v>
      </c>
      <c r="D25" s="55">
        <v>155</v>
      </c>
      <c r="E25" s="56" t="s">
        <v>70</v>
      </c>
      <c r="F25" s="56" t="s">
        <v>70</v>
      </c>
      <c r="G25" s="54"/>
    </row>
    <row r="26" spans="1:7">
      <c r="A26" s="54" t="s">
        <v>154</v>
      </c>
      <c r="B26" s="55">
        <v>-15222</v>
      </c>
      <c r="C26" s="55">
        <v>-41233</v>
      </c>
      <c r="D26" s="55">
        <v>-19416</v>
      </c>
      <c r="E26" s="55">
        <v>-26375</v>
      </c>
      <c r="F26" s="55">
        <v>-26509</v>
      </c>
      <c r="G26" s="54"/>
    </row>
    <row r="27" spans="1:7">
      <c r="A27" s="54" t="s">
        <v>155</v>
      </c>
      <c r="B27" s="55">
        <v>-6683</v>
      </c>
      <c r="C27" s="55">
        <v>-16831</v>
      </c>
      <c r="D27" s="55">
        <v>-17307</v>
      </c>
      <c r="E27" s="55">
        <v>-7596</v>
      </c>
      <c r="F27" s="55">
        <v>-9504</v>
      </c>
      <c r="G27" s="54"/>
    </row>
    <row r="28" spans="1:7">
      <c r="A28" s="54" t="s">
        <v>156</v>
      </c>
      <c r="B28" s="55">
        <v>394</v>
      </c>
      <c r="C28" s="56" t="s">
        <v>70</v>
      </c>
      <c r="D28" s="56" t="s">
        <v>70</v>
      </c>
      <c r="E28" s="56" t="s">
        <v>70</v>
      </c>
      <c r="F28" s="56" t="s">
        <v>70</v>
      </c>
      <c r="G28" s="54"/>
    </row>
    <row r="29" spans="1:7">
      <c r="A29" s="54" t="s">
        <v>117</v>
      </c>
      <c r="B29" s="55">
        <v>-5520</v>
      </c>
      <c r="C29" s="55">
        <v>10774</v>
      </c>
      <c r="D29" s="55">
        <v>35502</v>
      </c>
      <c r="E29" s="55">
        <v>7841</v>
      </c>
      <c r="F29" s="55">
        <v>10192</v>
      </c>
      <c r="G29" s="54"/>
    </row>
    <row r="30" spans="1:7">
      <c r="A30" s="54" t="s">
        <v>127</v>
      </c>
      <c r="B30" s="55">
        <v>8297</v>
      </c>
      <c r="C30" s="55">
        <v>22856</v>
      </c>
      <c r="D30" s="55">
        <v>-3595</v>
      </c>
      <c r="E30" s="55">
        <v>17748</v>
      </c>
      <c r="F30" s="55">
        <v>10904</v>
      </c>
      <c r="G30" s="54"/>
    </row>
    <row r="31" spans="1:7">
      <c r="A31" s="54" t="s">
        <v>130</v>
      </c>
      <c r="B31" s="55">
        <v>1054</v>
      </c>
      <c r="C31" s="55">
        <v>3325</v>
      </c>
      <c r="D31" s="55">
        <v>1720</v>
      </c>
      <c r="E31" s="55">
        <v>2719</v>
      </c>
      <c r="F31" s="55">
        <v>1574</v>
      </c>
      <c r="G31" s="54"/>
    </row>
    <row r="32" spans="1:7">
      <c r="A32" s="54" t="s">
        <v>129</v>
      </c>
      <c r="B32" s="55">
        <v>1357</v>
      </c>
      <c r="C32" s="55">
        <v>825</v>
      </c>
      <c r="D32" s="55">
        <v>1624</v>
      </c>
      <c r="E32" s="55">
        <v>1993</v>
      </c>
      <c r="F32" s="55">
        <v>1530</v>
      </c>
      <c r="G32" s="54"/>
    </row>
    <row r="33" spans="1:7">
      <c r="A33" s="54" t="s">
        <v>157</v>
      </c>
      <c r="B33" s="55">
        <v>3580</v>
      </c>
      <c r="C33" s="55">
        <v>12491</v>
      </c>
      <c r="D33" s="55">
        <v>4831</v>
      </c>
      <c r="E33" s="55">
        <v>6307</v>
      </c>
      <c r="F33" s="55">
        <v>10516</v>
      </c>
      <c r="G33" s="54"/>
    </row>
    <row r="34" spans="1:7">
      <c r="A34" s="54" t="s">
        <v>158</v>
      </c>
      <c r="B34" s="55">
        <v>42877</v>
      </c>
      <c r="C34" s="55">
        <v>78594</v>
      </c>
      <c r="D34" s="55">
        <v>72178</v>
      </c>
      <c r="E34" s="55">
        <v>38624</v>
      </c>
      <c r="F34" s="55">
        <v>45116</v>
      </c>
      <c r="G34" s="54"/>
    </row>
    <row r="35" spans="1:7">
      <c r="A35" s="54" t="s">
        <v>159</v>
      </c>
      <c r="B35" s="55">
        <v>-30207</v>
      </c>
      <c r="C35" s="55">
        <v>-30825</v>
      </c>
      <c r="D35" s="55">
        <v>-16565</v>
      </c>
      <c r="E35" s="55">
        <v>-17165</v>
      </c>
      <c r="F35" s="55">
        <v>-15238</v>
      </c>
      <c r="G35" s="54"/>
    </row>
    <row r="36" spans="1:7">
      <c r="A36" s="54" t="s">
        <v>160</v>
      </c>
      <c r="B36" s="55">
        <v>-248318</v>
      </c>
      <c r="C36" s="55">
        <v>-285205</v>
      </c>
      <c r="D36" s="56" t="s">
        <v>70</v>
      </c>
      <c r="E36" s="56" t="s">
        <v>70</v>
      </c>
      <c r="F36" s="56" t="s">
        <v>70</v>
      </c>
      <c r="G36" s="54"/>
    </row>
    <row r="37" spans="1:7">
      <c r="A37" s="54" t="s">
        <v>161</v>
      </c>
      <c r="B37" s="55">
        <v>36587</v>
      </c>
      <c r="C37" s="55">
        <v>10596</v>
      </c>
      <c r="D37" s="56" t="s">
        <v>70</v>
      </c>
      <c r="E37" s="56" t="s">
        <v>70</v>
      </c>
      <c r="F37" s="56" t="s">
        <v>70</v>
      </c>
      <c r="G37" s="54"/>
    </row>
    <row r="38" spans="1:7">
      <c r="A38" s="54" t="s">
        <v>162</v>
      </c>
      <c r="B38" s="55">
        <v>171477</v>
      </c>
      <c r="C38" s="55">
        <v>80250</v>
      </c>
      <c r="D38" s="56" t="s">
        <v>70</v>
      </c>
      <c r="E38" s="56" t="s">
        <v>70</v>
      </c>
      <c r="F38" s="56" t="s">
        <v>70</v>
      </c>
      <c r="G38" s="54"/>
    </row>
    <row r="39" spans="1:7">
      <c r="A39" s="54" t="s">
        <v>163</v>
      </c>
      <c r="B39" s="56" t="s">
        <v>70</v>
      </c>
      <c r="C39" s="56" t="s">
        <v>70</v>
      </c>
      <c r="D39" s="56" t="s">
        <v>70</v>
      </c>
      <c r="E39" s="55">
        <v>35</v>
      </c>
      <c r="F39" s="56" t="s">
        <v>70</v>
      </c>
      <c r="G39" s="54"/>
    </row>
    <row r="40" spans="1:7">
      <c r="A40" s="54" t="s">
        <v>164</v>
      </c>
      <c r="B40" s="55">
        <v>-70461</v>
      </c>
      <c r="C40" s="55">
        <v>-225184</v>
      </c>
      <c r="D40" s="55">
        <v>-16565</v>
      </c>
      <c r="E40" s="55">
        <v>-17130</v>
      </c>
      <c r="F40" s="55">
        <v>-15238</v>
      </c>
      <c r="G40" s="54"/>
    </row>
    <row r="41" spans="1:7">
      <c r="A41" s="54" t="s">
        <v>165</v>
      </c>
      <c r="B41" s="56" t="s">
        <v>70</v>
      </c>
      <c r="C41" s="56" t="s">
        <v>70</v>
      </c>
      <c r="D41" s="55">
        <v>129046</v>
      </c>
      <c r="E41" s="56" t="s">
        <v>70</v>
      </c>
      <c r="F41" s="56" t="s">
        <v>70</v>
      </c>
      <c r="G41" s="54"/>
    </row>
    <row r="42" spans="1:7">
      <c r="A42" s="54" t="s">
        <v>166</v>
      </c>
      <c r="B42" s="55">
        <v>12078</v>
      </c>
      <c r="C42" s="55">
        <v>13693</v>
      </c>
      <c r="D42" s="55">
        <v>5788</v>
      </c>
      <c r="E42" s="55">
        <v>2346</v>
      </c>
      <c r="F42" s="55">
        <v>436</v>
      </c>
      <c r="G42" s="54"/>
    </row>
    <row r="43" spans="1:7">
      <c r="A43" s="54" t="s">
        <v>167</v>
      </c>
      <c r="B43" s="55">
        <v>-12819</v>
      </c>
      <c r="C43" s="55">
        <v>-6748</v>
      </c>
      <c r="D43" s="56" t="s">
        <v>70</v>
      </c>
      <c r="E43" s="56" t="s">
        <v>70</v>
      </c>
      <c r="F43" s="56" t="s">
        <v>70</v>
      </c>
      <c r="G43" s="54"/>
    </row>
    <row r="44" spans="1:7">
      <c r="A44" s="54" t="s">
        <v>151</v>
      </c>
      <c r="B44" s="56" t="s">
        <v>70</v>
      </c>
      <c r="C44" s="56" t="s">
        <v>70</v>
      </c>
      <c r="D44" s="56" t="s">
        <v>70</v>
      </c>
      <c r="E44" s="55">
        <v>62</v>
      </c>
      <c r="F44" s="55">
        <v>63</v>
      </c>
      <c r="G44" s="54"/>
    </row>
    <row r="45" spans="1:7">
      <c r="A45" s="54" t="s">
        <v>168</v>
      </c>
      <c r="B45" s="56" t="s">
        <v>70</v>
      </c>
      <c r="C45" s="56" t="s">
        <v>70</v>
      </c>
      <c r="D45" s="55">
        <v>-39</v>
      </c>
      <c r="E45" s="55">
        <v>-3557</v>
      </c>
      <c r="F45" s="56" t="s">
        <v>70</v>
      </c>
      <c r="G45" s="54"/>
    </row>
    <row r="46" spans="1:7">
      <c r="A46" s="54" t="s">
        <v>169</v>
      </c>
      <c r="B46" s="55">
        <v>-694</v>
      </c>
      <c r="C46" s="56" t="s">
        <v>70</v>
      </c>
      <c r="D46" s="56" t="s">
        <v>70</v>
      </c>
      <c r="E46" s="56" t="s">
        <v>70</v>
      </c>
      <c r="F46" s="56" t="s">
        <v>70</v>
      </c>
      <c r="G46" s="54"/>
    </row>
    <row r="47" spans="1:7">
      <c r="A47" s="54" t="s">
        <v>170</v>
      </c>
      <c r="B47" s="56" t="s">
        <v>70</v>
      </c>
      <c r="C47" s="56" t="s">
        <v>70</v>
      </c>
      <c r="D47" s="56" t="s">
        <v>70</v>
      </c>
      <c r="E47" s="55">
        <v>-1879</v>
      </c>
      <c r="F47" s="56" t="s">
        <v>70</v>
      </c>
      <c r="G47" s="54"/>
    </row>
    <row r="48" spans="1:7">
      <c r="A48" s="54" t="s">
        <v>171</v>
      </c>
      <c r="B48" s="55">
        <v>-1435</v>
      </c>
      <c r="C48" s="55">
        <v>6945</v>
      </c>
      <c r="D48" s="55">
        <v>134795</v>
      </c>
      <c r="E48" s="55">
        <v>-3028</v>
      </c>
      <c r="F48" s="55">
        <v>499</v>
      </c>
      <c r="G48" s="54"/>
    </row>
    <row r="49" spans="1:7">
      <c r="A49" s="54" t="s">
        <v>172</v>
      </c>
      <c r="B49" s="55">
        <v>-29019</v>
      </c>
      <c r="C49" s="55">
        <v>-139645</v>
      </c>
      <c r="D49" s="55">
        <v>190408</v>
      </c>
      <c r="E49" s="55">
        <v>18466</v>
      </c>
      <c r="F49" s="55">
        <v>30377</v>
      </c>
      <c r="G49" s="54"/>
    </row>
    <row r="50" spans="1:7">
      <c r="A50" s="54" t="s">
        <v>173</v>
      </c>
      <c r="B50" s="55">
        <v>1542</v>
      </c>
      <c r="C50" s="55">
        <v>211</v>
      </c>
      <c r="D50" s="56" t="s">
        <v>70</v>
      </c>
      <c r="E50" s="56" t="s">
        <v>70</v>
      </c>
      <c r="F50" s="56" t="s">
        <v>70</v>
      </c>
      <c r="G50" s="54"/>
    </row>
    <row r="51" spans="1:7">
      <c r="A51" s="54" t="s">
        <v>174</v>
      </c>
      <c r="B51" s="55">
        <v>170932</v>
      </c>
      <c r="C51" s="55">
        <v>310366</v>
      </c>
      <c r="D51" s="55">
        <v>119958</v>
      </c>
      <c r="E51" s="55">
        <v>101492</v>
      </c>
      <c r="F51" s="55">
        <v>71115</v>
      </c>
      <c r="G51" s="54"/>
    </row>
    <row r="52" spans="1:7">
      <c r="A52" s="54" t="s">
        <v>175</v>
      </c>
      <c r="B52" s="55">
        <v>143455</v>
      </c>
      <c r="C52" s="55">
        <v>170932</v>
      </c>
      <c r="D52" s="55">
        <v>310366</v>
      </c>
      <c r="E52" s="55">
        <v>119958</v>
      </c>
      <c r="F52" s="55">
        <v>101492</v>
      </c>
      <c r="G52" s="54"/>
    </row>
    <row r="53" spans="1:7">
      <c r="A53" s="54" t="s">
        <v>176</v>
      </c>
      <c r="B53" s="55">
        <v>365</v>
      </c>
      <c r="C53" s="55">
        <v>966</v>
      </c>
      <c r="D53" s="55">
        <v>10071</v>
      </c>
      <c r="E53" s="55">
        <v>28023</v>
      </c>
      <c r="F53" s="55">
        <v>39387</v>
      </c>
      <c r="G53" s="5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SFIX_DCF</vt:lpstr>
      <vt:lpstr>Option_Value</vt:lpstr>
      <vt:lpstr>SFIX_IS</vt:lpstr>
      <vt:lpstr>SFIX_BS</vt:lpstr>
      <vt:lpstr>SFIX_CFS</vt:lpstr>
    </vt:vector>
  </TitlesOfParts>
  <Company>Loyola Marymount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David_Moore</dc:creator>
  <cp:lastModifiedBy>David Moore</cp:lastModifiedBy>
  <dcterms:created xsi:type="dcterms:W3CDTF">2019-02-12T17:30:01Z</dcterms:created>
  <dcterms:modified xsi:type="dcterms:W3CDTF">2020-10-29T13:14:58Z</dcterms:modified>
</cp:coreProperties>
</file>