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vid Moore\Dropbox\LMU_teaching\FNCE_3415\Fall_19\Mod5\"/>
    </mc:Choice>
  </mc:AlternateContent>
  <xr:revisionPtr revIDLastSave="0" documentId="13_ncr:1_{31406D51-5462-4C34-928A-CEC01CC39436}" xr6:coauthVersionLast="45" xr6:coauthVersionMax="45" xr10:uidLastSave="{00000000-0000-0000-0000-000000000000}"/>
  <bookViews>
    <workbookView xWindow="-28920" yWindow="1170" windowWidth="29040" windowHeight="15840" xr2:uid="{00000000-000D-0000-FFFF-FFFF00000000}"/>
  </bookViews>
  <sheets>
    <sheet name="GNTX_DCF" sheetId="1" r:id="rId1"/>
    <sheet name="Option_Value" sheetId="5" r:id="rId2"/>
    <sheet name="GNTX_IS" sheetId="2" r:id="rId3"/>
    <sheet name="GNTX_CF" sheetId="3" r:id="rId4"/>
    <sheet name="GNTX_BS" sheetId="4" r:id="rId5"/>
  </sheets>
  <externalReferences>
    <externalReference r:id="rId6"/>
    <externalReference r:id="rId7"/>
  </externalReferences>
  <definedNames>
    <definedName name="_xlnm._FilterDatabase" localSheetId="0" hidden="1">GNTX_DCF!#REF!</definedName>
    <definedName name="AXL_Debt">[1]AXL_BS!$B$65</definedName>
    <definedName name="BEA_Debt">#REF!</definedName>
    <definedName name="BWA_Debt">[1]BWA_BS!$B$111</definedName>
    <definedName name="CIQWBGuid" hidden="1">"d0998759-8ba7-4210-8fa6-7a4a90d99731"</definedName>
    <definedName name="DAN_Debt">[1]DAN_BS!$B$94</definedName>
    <definedName name="GNTX_NCI">[1]GNTX_LTM!$E$13</definedName>
    <definedName name="GNTX_Net_Debt">[1]GNTX_LTM!$E$11</definedName>
    <definedName name="GNTX_PS">[1]GNTX_LTM!$E$12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43011.9007060185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rispy_Cash_LQ">[2]KKD_BS_LQ!$B$3</definedName>
    <definedName name="Krispy_EBITDA_LTM">[2]KKD_LTM!$E$6</definedName>
    <definedName name="LEA_Debt">[1]LEA_BS!$B$58</definedName>
    <definedName name="THRM_Debt">[1]THRM_BS!$B$78</definedName>
    <definedName name="VC_Debt">[1]VC_BS!$B$109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5" i="1" l="1"/>
  <c r="I85" i="1" l="1"/>
  <c r="I86" i="1" s="1"/>
  <c r="I87" i="1" s="1"/>
  <c r="I88" i="1" s="1"/>
  <c r="N88" i="1"/>
  <c r="S46" i="1" s="1"/>
  <c r="N86" i="1"/>
  <c r="S47" i="1" s="1"/>
  <c r="G20" i="5"/>
  <c r="D20" i="5"/>
  <c r="G19" i="5"/>
  <c r="G18" i="5"/>
  <c r="D17" i="5"/>
  <c r="D19" i="5" s="1"/>
  <c r="G16" i="5"/>
  <c r="E10" i="5"/>
  <c r="G17" i="5" s="1"/>
  <c r="S40" i="1"/>
  <c r="N49" i="1" l="1"/>
  <c r="I49" i="1"/>
  <c r="G21" i="5"/>
  <c r="N47" i="1"/>
  <c r="I47" i="1"/>
  <c r="G101" i="1"/>
  <c r="G110" i="1" s="1"/>
  <c r="G111" i="1" s="1"/>
  <c r="G113" i="1" s="1"/>
  <c r="I38" i="1" s="1"/>
  <c r="C131" i="1"/>
  <c r="G123" i="1"/>
  <c r="G121" i="1"/>
  <c r="I121" i="1" s="1"/>
  <c r="F101" i="1"/>
  <c r="F100" i="1"/>
  <c r="F98" i="1"/>
  <c r="C130" i="1" l="1"/>
  <c r="F122" i="1" l="1"/>
  <c r="G122" i="1" s="1"/>
  <c r="K122" i="1"/>
  <c r="K123" i="1" s="1"/>
  <c r="I123" i="1" s="1"/>
  <c r="F124" i="1"/>
  <c r="G124" i="1" s="1"/>
  <c r="F125" i="1"/>
  <c r="G125" i="1" s="1"/>
  <c r="F126" i="1"/>
  <c r="G126" i="1" s="1"/>
  <c r="G7" i="1"/>
  <c r="H7" i="1"/>
  <c r="H9" i="1" s="1"/>
  <c r="H28" i="1" s="1"/>
  <c r="I7" i="1"/>
  <c r="I12" i="1" s="1"/>
  <c r="F58" i="1"/>
  <c r="G58" i="1"/>
  <c r="G59" i="1" s="1"/>
  <c r="H58" i="1"/>
  <c r="H59" i="1" s="1"/>
  <c r="L74" i="1"/>
  <c r="M74" i="1"/>
  <c r="I9" i="1"/>
  <c r="H8" i="1"/>
  <c r="H13" i="1"/>
  <c r="G61" i="1"/>
  <c r="G64" i="1"/>
  <c r="G8" i="1"/>
  <c r="G27" i="1" s="1"/>
  <c r="G9" i="1"/>
  <c r="G12" i="1"/>
  <c r="G13" i="1"/>
  <c r="G18" i="1"/>
  <c r="F59" i="1"/>
  <c r="F60" i="1"/>
  <c r="F61" i="1"/>
  <c r="F64" i="1"/>
  <c r="F65" i="1"/>
  <c r="F66" i="1"/>
  <c r="F8" i="1"/>
  <c r="C47" i="4"/>
  <c r="D47" i="4"/>
  <c r="E47" i="4"/>
  <c r="F47" i="4"/>
  <c r="G47" i="4"/>
  <c r="H47" i="4"/>
  <c r="B47" i="4"/>
  <c r="B48" i="3"/>
  <c r="B47" i="3"/>
  <c r="F18" i="1"/>
  <c r="F13" i="1"/>
  <c r="F30" i="1" s="1"/>
  <c r="F12" i="1"/>
  <c r="F9" i="1"/>
  <c r="F28" i="1" s="1"/>
  <c r="C47" i="3"/>
  <c r="I18" i="1" s="1"/>
  <c r="D47" i="3"/>
  <c r="H18" i="1" s="1"/>
  <c r="E47" i="3"/>
  <c r="F47" i="3"/>
  <c r="G47" i="3"/>
  <c r="H47" i="3"/>
  <c r="C48" i="3"/>
  <c r="D48" i="3"/>
  <c r="H19" i="1" s="1"/>
  <c r="E48" i="3"/>
  <c r="G19" i="1" s="1"/>
  <c r="F48" i="3"/>
  <c r="F19" i="1" s="1"/>
  <c r="F31" i="1" s="1"/>
  <c r="G48" i="3"/>
  <c r="H48" i="3"/>
  <c r="F25" i="1"/>
  <c r="G25" i="1"/>
  <c r="H25" i="1" s="1"/>
  <c r="I25" i="1" s="1"/>
  <c r="J25" i="1" s="1"/>
  <c r="K25" i="1" s="1"/>
  <c r="L25" i="1" s="1"/>
  <c r="M25" i="1" s="1"/>
  <c r="N25" i="1" s="1"/>
  <c r="O25" i="1" s="1"/>
  <c r="F73" i="1"/>
  <c r="G73" i="1"/>
  <c r="H73" i="1" s="1"/>
  <c r="I73" i="1" s="1"/>
  <c r="J73" i="1" s="1"/>
  <c r="K73" i="1" s="1"/>
  <c r="L73" i="1" s="1"/>
  <c r="M73" i="1" s="1"/>
  <c r="N73" i="1" s="1"/>
  <c r="O73" i="1" s="1"/>
  <c r="F29" i="1"/>
  <c r="H30" i="1"/>
  <c r="R30" i="1" l="1"/>
  <c r="L30" i="1" s="1"/>
  <c r="M30" i="1" s="1"/>
  <c r="N30" i="1" s="1"/>
  <c r="O30" i="1" s="1"/>
  <c r="R32" i="1"/>
  <c r="L32" i="1" s="1"/>
  <c r="M32" i="1" s="1"/>
  <c r="N32" i="1" s="1"/>
  <c r="O32" i="1" s="1"/>
  <c r="R29" i="1"/>
  <c r="L29" i="1" s="1"/>
  <c r="M29" i="1" s="1"/>
  <c r="N29" i="1" s="1"/>
  <c r="O29" i="1" s="1"/>
  <c r="R28" i="1"/>
  <c r="L28" i="1" s="1"/>
  <c r="M28" i="1" s="1"/>
  <c r="N28" i="1" s="1"/>
  <c r="O28" i="1" s="1"/>
  <c r="R31" i="1"/>
  <c r="L31" i="1" s="1"/>
  <c r="M31" i="1" s="1"/>
  <c r="N31" i="1" s="1"/>
  <c r="O31" i="1" s="1"/>
  <c r="R27" i="1"/>
  <c r="L27" i="1" s="1"/>
  <c r="M27" i="1" s="1"/>
  <c r="N27" i="1" s="1"/>
  <c r="O27" i="1" s="1"/>
  <c r="G66" i="1"/>
  <c r="H10" i="1"/>
  <c r="H33" i="1" s="1"/>
  <c r="H32" i="1"/>
  <c r="H61" i="1"/>
  <c r="I8" i="1"/>
  <c r="I28" i="1" s="1"/>
  <c r="I124" i="1"/>
  <c r="G60" i="1"/>
  <c r="G62" i="1" s="1"/>
  <c r="G68" i="1" s="1"/>
  <c r="G74" i="1" s="1"/>
  <c r="H12" i="1"/>
  <c r="I19" i="1"/>
  <c r="I31" i="1" s="1"/>
  <c r="G29" i="1"/>
  <c r="G65" i="1"/>
  <c r="I13" i="1"/>
  <c r="I30" i="1" s="1"/>
  <c r="I58" i="1"/>
  <c r="J7" i="1"/>
  <c r="J19" i="1" s="1"/>
  <c r="I122" i="1"/>
  <c r="G31" i="1"/>
  <c r="I32" i="1"/>
  <c r="G28" i="1"/>
  <c r="H31" i="1"/>
  <c r="I27" i="1"/>
  <c r="F62" i="1"/>
  <c r="F68" i="1" s="1"/>
  <c r="F74" i="1" s="1"/>
  <c r="G30" i="1"/>
  <c r="I10" i="1"/>
  <c r="I14" i="1" s="1"/>
  <c r="I15" i="1" s="1"/>
  <c r="F32" i="1"/>
  <c r="G32" i="1"/>
  <c r="G10" i="1"/>
  <c r="K124" i="1"/>
  <c r="H27" i="1"/>
  <c r="F10" i="1"/>
  <c r="H65" i="1"/>
  <c r="H60" i="1"/>
  <c r="H62" i="1" s="1"/>
  <c r="I61" i="1"/>
  <c r="N74" i="1"/>
  <c r="H64" i="1"/>
  <c r="H66" i="1" s="1"/>
  <c r="I65" i="1"/>
  <c r="I60" i="1"/>
  <c r="J9" i="1" l="1"/>
  <c r="J18" i="1"/>
  <c r="J58" i="1"/>
  <c r="I59" i="1"/>
  <c r="I64" i="1"/>
  <c r="I66" i="1" s="1"/>
  <c r="I29" i="1"/>
  <c r="H14" i="1"/>
  <c r="H29" i="1"/>
  <c r="J8" i="1"/>
  <c r="K7" i="1"/>
  <c r="L7" i="1" s="1"/>
  <c r="M7" i="1" s="1"/>
  <c r="N7" i="1" s="1"/>
  <c r="O7" i="1" s="1"/>
  <c r="J13" i="1"/>
  <c r="J12" i="1"/>
  <c r="I62" i="1"/>
  <c r="I68" i="1" s="1"/>
  <c r="I69" i="1" s="1"/>
  <c r="I20" i="1" s="1"/>
  <c r="I21" i="1" s="1"/>
  <c r="H68" i="1"/>
  <c r="H69" i="1" s="1"/>
  <c r="H20" i="1" s="1"/>
  <c r="I33" i="1"/>
  <c r="I16" i="1"/>
  <c r="J32" i="1"/>
  <c r="G69" i="1"/>
  <c r="G20" i="1" s="1"/>
  <c r="I74" i="1"/>
  <c r="F33" i="1"/>
  <c r="F14" i="1"/>
  <c r="K125" i="1"/>
  <c r="I125" i="1" s="1"/>
  <c r="O74" i="1"/>
  <c r="G14" i="1"/>
  <c r="G33" i="1"/>
  <c r="J64" i="1" l="1"/>
  <c r="J61" i="1"/>
  <c r="J60" i="1"/>
  <c r="J65" i="1"/>
  <c r="J59" i="1"/>
  <c r="K58" i="1"/>
  <c r="L58" i="1" s="1"/>
  <c r="M58" i="1" s="1"/>
  <c r="N58" i="1" s="1"/>
  <c r="O58" i="1" s="1"/>
  <c r="K8" i="1"/>
  <c r="J27" i="1"/>
  <c r="J29" i="1"/>
  <c r="J28" i="1"/>
  <c r="H74" i="1"/>
  <c r="J10" i="1"/>
  <c r="J30" i="1"/>
  <c r="H15" i="1"/>
  <c r="H16" i="1" s="1"/>
  <c r="H21" i="1" s="1"/>
  <c r="J31" i="1"/>
  <c r="G15" i="1"/>
  <c r="G16" i="1" s="1"/>
  <c r="G21" i="1" s="1"/>
  <c r="F15" i="1"/>
  <c r="F16" i="1"/>
  <c r="J14" i="1"/>
  <c r="J33" i="1"/>
  <c r="K126" i="1"/>
  <c r="I126" i="1" s="1"/>
  <c r="C128" i="1" s="1"/>
  <c r="C132" i="1" s="1"/>
  <c r="F110" i="1" s="1"/>
  <c r="F111" i="1" s="1"/>
  <c r="F113" i="1" s="1"/>
  <c r="N42" i="1" l="1"/>
  <c r="I42" i="1"/>
  <c r="K12" i="1"/>
  <c r="K68" i="1"/>
  <c r="K13" i="1"/>
  <c r="K19" i="1"/>
  <c r="K18" i="1" s="1"/>
  <c r="L8" i="1"/>
  <c r="K9" i="1"/>
  <c r="K10" i="1" s="1"/>
  <c r="J62" i="1"/>
  <c r="J66" i="1"/>
  <c r="J15" i="1"/>
  <c r="J16" i="1"/>
  <c r="M8" i="1" l="1"/>
  <c r="L19" i="1"/>
  <c r="L18" i="1" s="1"/>
  <c r="L68" i="1"/>
  <c r="L69" i="1" s="1"/>
  <c r="L20" i="1" s="1"/>
  <c r="L12" i="1"/>
  <c r="L9" i="1"/>
  <c r="L10" i="1" s="1"/>
  <c r="L13" i="1"/>
  <c r="K14" i="1"/>
  <c r="K33" i="1"/>
  <c r="J68" i="1"/>
  <c r="J74" i="1" l="1"/>
  <c r="J69" i="1"/>
  <c r="J20" i="1" s="1"/>
  <c r="J21" i="1" s="1"/>
  <c r="L14" i="1"/>
  <c r="L33" i="1"/>
  <c r="M13" i="1"/>
  <c r="M9" i="1"/>
  <c r="M10" i="1" s="1"/>
  <c r="N8" i="1"/>
  <c r="M68" i="1"/>
  <c r="M69" i="1" s="1"/>
  <c r="M20" i="1" s="1"/>
  <c r="M12" i="1"/>
  <c r="M19" i="1"/>
  <c r="M18" i="1" s="1"/>
  <c r="K15" i="1"/>
  <c r="K16" i="1"/>
  <c r="K21" i="1" s="1"/>
  <c r="K69" i="1"/>
  <c r="K20" i="1" s="1"/>
  <c r="L15" i="1" l="1"/>
  <c r="L16" i="1"/>
  <c r="L21" i="1" s="1"/>
  <c r="N13" i="1"/>
  <c r="N19" i="1"/>
  <c r="N18" i="1" s="1"/>
  <c r="N9" i="1"/>
  <c r="N10" i="1" s="1"/>
  <c r="N12" i="1"/>
  <c r="O8" i="1"/>
  <c r="N68" i="1"/>
  <c r="N69" i="1" s="1"/>
  <c r="N20" i="1" s="1"/>
  <c r="M14" i="1"/>
  <c r="M33" i="1"/>
  <c r="M15" i="1" l="1"/>
  <c r="M16" i="1"/>
  <c r="M21" i="1" s="1"/>
  <c r="N33" i="1"/>
  <c r="N14" i="1"/>
  <c r="O12" i="1"/>
  <c r="O13" i="1"/>
  <c r="O9" i="1"/>
  <c r="O10" i="1" s="1"/>
  <c r="O19" i="1"/>
  <c r="O18" i="1" s="1"/>
  <c r="O68" i="1"/>
  <c r="O69" i="1" s="1"/>
  <c r="O20" i="1" s="1"/>
  <c r="N15" i="1" l="1"/>
  <c r="N16" i="1"/>
  <c r="N21" i="1" s="1"/>
  <c r="O14" i="1"/>
  <c r="O33" i="1"/>
  <c r="O15" i="1" l="1"/>
  <c r="N39" i="1"/>
  <c r="N41" i="1" s="1"/>
  <c r="N43" i="1" s="1"/>
  <c r="O16" i="1"/>
  <c r="O21" i="1" s="1"/>
  <c r="I45" i="1"/>
  <c r="I39" i="1" l="1"/>
  <c r="I41" i="1" s="1"/>
  <c r="I43" i="1" s="1"/>
  <c r="I46" i="1" s="1"/>
  <c r="I48" i="1" s="1"/>
  <c r="N45" i="1"/>
  <c r="N46" i="1" s="1"/>
  <c r="N48" i="1" s="1"/>
  <c r="N50" i="1" s="1"/>
  <c r="I50" i="1" l="1"/>
  <c r="S45" i="1"/>
  <c r="S48" i="1" s="1"/>
  <c r="S39" i="1"/>
  <c r="S41" i="1" l="1"/>
  <c r="S42" i="1"/>
  <c r="E3" i="5"/>
  <c r="D16" i="5"/>
  <c r="D18" i="5"/>
  <c r="C23" i="5"/>
  <c r="C24" i="5"/>
  <c r="C26" i="5"/>
  <c r="C27" i="5"/>
  <c r="D29" i="5"/>
  <c r="E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Moore</author>
  </authors>
  <commentList>
    <comment ref="F104" authorId="0" shapeId="0" xr:uid="{82076905-329E-4AD0-8265-09C3113CD61B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Yield on LEA bond maturing in 2029. Pulled on 10/14/2019</t>
        </r>
      </text>
    </comment>
    <comment ref="G104" authorId="0" shapeId="0" xr:uid="{E6C1072E-2419-4F1F-A38E-A5097BAF1F81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Yield on LEA bond maturing in 2029. Pulled on 10/14/2019</t>
        </r>
      </text>
    </comment>
    <comment ref="F108" authorId="0" shapeId="0" xr:uid="{E87C6F80-7285-455F-A446-176833CADF97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US Treasury bond 10-year. Pulled 10/11/2019 at 5:05PM EST. 
</t>
        </r>
      </text>
    </comment>
    <comment ref="G108" authorId="0" shapeId="0" xr:uid="{0FB23D4A-0B5A-4A8C-8980-63F890329E54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US Treasury bond 10-year. Pulled 10/11/2019 at 5:05PM EST. 
</t>
        </r>
      </text>
    </comment>
    <comment ref="F109" authorId="0" shapeId="0" xr:uid="{1BC4C415-A5A9-4B0F-87BB-CAB767837681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Damodaran website. Updated 10/1/2019. 12 month trailing adjusted payout</t>
        </r>
      </text>
    </comment>
    <comment ref="G109" authorId="0" shapeId="0" xr:uid="{C423A66E-4504-4B02-AF3F-6344CCDC8257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Damodaran website. Updated 10/1/2019. 12 month trailing adjusted payout</t>
        </r>
      </text>
    </comment>
    <comment ref="C129" authorId="0" shapeId="0" xr:uid="{61401634-76E8-4783-9C1B-A16976E89B31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Damodaran, auto parts industry average unlevered beta. 10/14/2019</t>
        </r>
      </text>
    </comment>
  </commentList>
</comments>
</file>

<file path=xl/sharedStrings.xml><?xml version="1.0" encoding="utf-8"?>
<sst xmlns="http://schemas.openxmlformats.org/spreadsheetml/2006/main" count="288" uniqueCount="228">
  <si>
    <t>SG&amp;A expenses (as % of revenues)</t>
  </si>
  <si>
    <t>Engineering, R&amp;D expenses (as % of revenues)</t>
  </si>
  <si>
    <t>COGS (as % of revenues)</t>
  </si>
  <si>
    <t>Sales Growth</t>
  </si>
  <si>
    <t>Step</t>
  </si>
  <si>
    <t>Terminal growth rate</t>
  </si>
  <si>
    <t>Terminal Value - Perpetuity Growth</t>
  </si>
  <si>
    <t>Non-cash NWC as a % of Sale</t>
  </si>
  <si>
    <t>Projected</t>
  </si>
  <si>
    <t>Historical</t>
  </si>
  <si>
    <t>Change in NWC</t>
  </si>
  <si>
    <t>Non-cash Net Working Capital</t>
  </si>
  <si>
    <t>Total non-debt current liabilities</t>
  </si>
  <si>
    <t>Current portion of long-term debt</t>
  </si>
  <si>
    <t>Total current liabilities</t>
  </si>
  <si>
    <t>Total non-cash current assets</t>
  </si>
  <si>
    <t>Short-term investments</t>
  </si>
  <si>
    <t>Cash &amp; cash equivalents</t>
  </si>
  <si>
    <t>Total current assets</t>
  </si>
  <si>
    <t>WORKING CAPITAL SCHEDULE</t>
  </si>
  <si>
    <t>Implied Equity Value per Share</t>
  </si>
  <si>
    <t>Diluted Shares Outstanding</t>
  </si>
  <si>
    <t>Implied Equity Value</t>
  </si>
  <si>
    <t>Net debt + Preferred stock + NCI</t>
  </si>
  <si>
    <t>Total Enterprise Value</t>
  </si>
  <si>
    <t>PV of Unlevered Free Cash Flows</t>
  </si>
  <si>
    <t>PV of Terminal Value</t>
  </si>
  <si>
    <t>WACC - current</t>
  </si>
  <si>
    <t>Terminal value</t>
  </si>
  <si>
    <t>Terminal year EBITDA multiple</t>
  </si>
  <si>
    <t>Terminal year EBITDA</t>
  </si>
  <si>
    <t>Unlevered FCF in terminal year</t>
  </si>
  <si>
    <t>WACC - for terminal value</t>
  </si>
  <si>
    <t>Terminal Value - Exit Multiple</t>
  </si>
  <si>
    <t>TERMINAL VALUE AND EQUITY VALUE PER SHARE</t>
  </si>
  <si>
    <t>Gross margin</t>
  </si>
  <si>
    <t>Depreciation and amortization (as % of capex)</t>
  </si>
  <si>
    <t>Capex (as % of revenues)</t>
  </si>
  <si>
    <t>Assumptions</t>
  </si>
  <si>
    <t>Unlevered free cash flows</t>
  </si>
  <si>
    <t>Change in Net Working Capital</t>
  </si>
  <si>
    <t>Capex</t>
  </si>
  <si>
    <t>Depreciation and amortization</t>
  </si>
  <si>
    <t>Tax-effected EBIT</t>
  </si>
  <si>
    <t>Taxes</t>
  </si>
  <si>
    <t>EBIT</t>
  </si>
  <si>
    <t>Selling, general &amp; administrative expenses</t>
  </si>
  <si>
    <t>Engineering, research &amp; development expenses</t>
  </si>
  <si>
    <t>Gross Profit</t>
  </si>
  <si>
    <t>Cost of goods sold</t>
  </si>
  <si>
    <t>Net sales</t>
  </si>
  <si>
    <t>FORECASTING CASH FLOWS</t>
  </si>
  <si>
    <t>Fiscal year ends in December USD in millions except per share data.</t>
  </si>
  <si>
    <t>GENTEX (GNTX) DISCOUNTED CASH FLOWS MODEL</t>
  </si>
  <si>
    <t>Year end shares outstanding</t>
  </si>
  <si>
    <t>Weighted average shares outstanding-diluted</t>
  </si>
  <si>
    <t>Weighted average shares outstanding-basic</t>
  </si>
  <si>
    <t>Net income (loss)</t>
  </si>
  <si>
    <t>Provision for income taxes</t>
  </si>
  <si>
    <t xml:space="preserve">Net deferred primarily federal income taxes </t>
  </si>
  <si>
    <t>Total currently payable income taxes</t>
  </si>
  <si>
    <t>Currently payable foreign income tax (benef)</t>
  </si>
  <si>
    <t>Currently payable state income taxes</t>
  </si>
  <si>
    <t>Currently payable federal income taxes</t>
  </si>
  <si>
    <t>Income (loss) before provision for income taxes</t>
  </si>
  <si>
    <t>Total other income (expense)</t>
  </si>
  <si>
    <t>Other income (expense), net</t>
  </si>
  <si>
    <t>Investment income</t>
  </si>
  <si>
    <t>Income (loss) from operations</t>
  </si>
  <si>
    <t>Total operating expenses</t>
  </si>
  <si>
    <t>Litigation settlement</t>
  </si>
  <si>
    <t>Gross profit (loss)</t>
  </si>
  <si>
    <t>For the fiscal year ended December 31,</t>
  </si>
  <si>
    <t>(Numbers in millions)</t>
  </si>
  <si>
    <t>Gentex Corp.   (NMS: GNTX)</t>
  </si>
  <si>
    <t>Depreciation and Amortization</t>
  </si>
  <si>
    <t>FOR DCF MODEL USE</t>
  </si>
  <si>
    <t>Income taxes paid</t>
  </si>
  <si>
    <t>Cash &amp; cash equivalents, end of year</t>
  </si>
  <si>
    <t>Cash &amp; cash equivalents, beginning of year</t>
  </si>
  <si>
    <t>Net increase (decrease) in cash &amp; cash equivalents</t>
  </si>
  <si>
    <t>Net cash flows from financing activities</t>
  </si>
  <si>
    <t>Excess tax benefits from stock based compensation</t>
  </si>
  <si>
    <t>Repurchases of common stock</t>
  </si>
  <si>
    <t>Cash dividend paid</t>
  </si>
  <si>
    <t>Issuance of common stock from stock plan transactions</t>
  </si>
  <si>
    <t>Deferred financing costs</t>
  </si>
  <si>
    <t>Repayment of long term debt</t>
  </si>
  <si>
    <t>Proceeds from borrowings on credit agreement</t>
  </si>
  <si>
    <t>Net cash flows from investing activities</t>
  </si>
  <si>
    <t>Decrease (increase) in other assets</t>
  </si>
  <si>
    <t>Acquisition of businesses, net of cash acquired</t>
  </si>
  <si>
    <t>Proceeds from sale of plant &amp; equipment</t>
  </si>
  <si>
    <t>Plant &amp; equipment additions</t>
  </si>
  <si>
    <t>Purchases of available-for-sale securities</t>
  </si>
  <si>
    <t>Maturities &amp; calls of available-for-sale securities</t>
  </si>
  <si>
    <t>Sales proceeds of available-for-sale securities</t>
  </si>
  <si>
    <t>Net cash flows from operating activities</t>
  </si>
  <si>
    <t>Accrued liabilities</t>
  </si>
  <si>
    <t>Accounts payable</t>
  </si>
  <si>
    <t>Prepaid expenses &amp; other current assets</t>
  </si>
  <si>
    <t>Inventories</t>
  </si>
  <si>
    <t>Accounts receivable</t>
  </si>
  <si>
    <t>Stock based compensation expense related to employee stock options, employee stock purchases &amp; restricted stock</t>
  </si>
  <si>
    <t>Deferred income taxes</t>
  </si>
  <si>
    <t>Loss on sale of investments</t>
  </si>
  <si>
    <t>Loss (gain) on sale of investments</t>
  </si>
  <si>
    <t>Loss on disposal of assets</t>
  </si>
  <si>
    <t>Loss (gain) on disposal of assets</t>
  </si>
  <si>
    <t>Depreciation &amp; amortization</t>
  </si>
  <si>
    <t>Total shareholders' investment</t>
  </si>
  <si>
    <t>Accumulated other comprehensive income - cumulative translation adjustment</t>
  </si>
  <si>
    <t>Accumulated other comprehensive income - unrealized gain (loss) on derivatives</t>
  </si>
  <si>
    <t>Accumulated other comprehensive income - unrealized gain (loss) on investments</t>
  </si>
  <si>
    <t>Retained earnings (accumulated deficit)</t>
  </si>
  <si>
    <t>Additional paid-in capital</t>
  </si>
  <si>
    <t>Common stock</t>
  </si>
  <si>
    <t>Total liabilities</t>
  </si>
  <si>
    <t>Long-term debt</t>
  </si>
  <si>
    <t>Other accrued liabilities</t>
  </si>
  <si>
    <t>Accrued dividends declared</t>
  </si>
  <si>
    <t>Accrued royalties</t>
  </si>
  <si>
    <t>Accrued income taxes</t>
  </si>
  <si>
    <t>Accrued salaries, wages &amp; vacation</t>
  </si>
  <si>
    <t>Total assets</t>
  </si>
  <si>
    <t>Total other assets</t>
  </si>
  <si>
    <t>Patents &amp; other assets, net</t>
  </si>
  <si>
    <t>Intangible assets, net</t>
  </si>
  <si>
    <t>Long-term investments</t>
  </si>
  <si>
    <t>Goodwill</t>
  </si>
  <si>
    <t>Net plant &amp; equipment</t>
  </si>
  <si>
    <t>TOTAL LIABILITES AND SHAREHOLDERS' INVESTMENT</t>
  </si>
  <si>
    <t>DILUTED SHARES</t>
  </si>
  <si>
    <t>Basic share count</t>
  </si>
  <si>
    <t>Exercisable options</t>
  </si>
  <si>
    <t>Exercise price</t>
  </si>
  <si>
    <t>Current share price</t>
  </si>
  <si>
    <t>In-the-money exercisable options</t>
  </si>
  <si>
    <t>Total proceeds</t>
  </si>
  <si>
    <t>Total shares repurchased</t>
  </si>
  <si>
    <t>Diluted shares outstanding</t>
  </si>
  <si>
    <t>WACC</t>
  </si>
  <si>
    <t>Current</t>
  </si>
  <si>
    <t>Terminal</t>
  </si>
  <si>
    <t>Percent of Capital</t>
  </si>
  <si>
    <t>Total debt</t>
  </si>
  <si>
    <t>Share price</t>
  </si>
  <si>
    <t>Market value of equity</t>
  </si>
  <si>
    <t>Weight of debt</t>
  </si>
  <si>
    <t>Weight of equity</t>
  </si>
  <si>
    <t>Cost of debt</t>
  </si>
  <si>
    <t>Pre-tax cost of debt</t>
  </si>
  <si>
    <t>Marginal tax rate</t>
  </si>
  <si>
    <t>Cost of equity</t>
  </si>
  <si>
    <t>Risk-free rate</t>
  </si>
  <si>
    <t>Market risk premium (Rm - Rf)</t>
  </si>
  <si>
    <t>Beta</t>
  </si>
  <si>
    <t>Weighted average cost of capital</t>
  </si>
  <si>
    <t>BOTTOM UP BETA</t>
  </si>
  <si>
    <t>MV</t>
  </si>
  <si>
    <t>Book Value</t>
  </si>
  <si>
    <t>Debt/</t>
  </si>
  <si>
    <t>Reg</t>
  </si>
  <si>
    <t>Unlevered</t>
  </si>
  <si>
    <t xml:space="preserve">Marginal </t>
  </si>
  <si>
    <t>Company</t>
  </si>
  <si>
    <t>Equity</t>
  </si>
  <si>
    <t>Debt</t>
  </si>
  <si>
    <t>Tax Rate</t>
  </si>
  <si>
    <t>Visteon Corporation</t>
  </si>
  <si>
    <t>VC</t>
  </si>
  <si>
    <t>Gentherm Incorporated</t>
  </si>
  <si>
    <t>THRM</t>
  </si>
  <si>
    <t>BorgWarner Inc.</t>
  </si>
  <si>
    <t>BWA</t>
  </si>
  <si>
    <t>American Axle &amp; Manufacturing</t>
  </si>
  <si>
    <t>AXL</t>
  </si>
  <si>
    <t>Dana Incorporated</t>
  </si>
  <si>
    <t>DAN</t>
  </si>
  <si>
    <t>Lear Corporation</t>
  </si>
  <si>
    <t>LEA</t>
  </si>
  <si>
    <t>Average unlevered beta</t>
  </si>
  <si>
    <t>GNTX Debt/Equity ratio</t>
  </si>
  <si>
    <t>GNTX Tax Rate</t>
  </si>
  <si>
    <t>GNTX Levered Beta</t>
  </si>
  <si>
    <t>x</t>
  </si>
  <si>
    <t>Average unlevered beta (Full industry)</t>
  </si>
  <si>
    <t>Shares outstanding</t>
  </si>
  <si>
    <t>Valuing Options or Warrants</t>
  </si>
  <si>
    <t>Enter the current stock price =</t>
  </si>
  <si>
    <t>Enter the strike price on the option =</t>
  </si>
  <si>
    <t>Enter the expiration of the option =</t>
  </si>
  <si>
    <t>Enter the standard deviation in stock prices =</t>
  </si>
  <si>
    <t>(volatility)</t>
  </si>
  <si>
    <t>Enter the annualized dividend yield on stock =</t>
  </si>
  <si>
    <t>Enter the treasury bond rate =</t>
  </si>
  <si>
    <t>Enter the number of shares outstanding =</t>
  </si>
  <si>
    <t>Do not input any numbers below this line</t>
  </si>
  <si>
    <t>VALUING WARRANTS WHEN THERE IS DILUTION</t>
  </si>
  <si>
    <t>Stock Price=</t>
  </si>
  <si>
    <t># Warrants issued=</t>
  </si>
  <si>
    <t>Strike Price=</t>
  </si>
  <si>
    <t># Shares outstanding=</t>
  </si>
  <si>
    <t>Adjusted S =</t>
  </si>
  <si>
    <t>T.Bond rate=</t>
  </si>
  <si>
    <t>Adjusted K =</t>
  </si>
  <si>
    <t>Variance=</t>
  </si>
  <si>
    <t>Expiration (in years) =</t>
  </si>
  <si>
    <t>Annualized dividend yield=</t>
  </si>
  <si>
    <t>Div. Adj. interest rate=</t>
  </si>
  <si>
    <t xml:space="preserve">d1 = </t>
  </si>
  <si>
    <t>N (d1) =</t>
  </si>
  <si>
    <t xml:space="preserve">d2 = </t>
  </si>
  <si>
    <t>N (d2) =</t>
  </si>
  <si>
    <t xml:space="preserve">Value per option = </t>
  </si>
  <si>
    <t>Value of all options outstanding =</t>
  </si>
  <si>
    <t>Option Drag</t>
  </si>
  <si>
    <t>Implied Equity Value (Using TV)</t>
  </si>
  <si>
    <t>Basic Shares</t>
  </si>
  <si>
    <t>Value of Options</t>
  </si>
  <si>
    <t>Treasury Outstanding Options</t>
  </si>
  <si>
    <t>Treasury with a Twist- Exercisable Options</t>
  </si>
  <si>
    <t>Treasury Method- All Outstanding Options</t>
  </si>
  <si>
    <t>Oustanding options</t>
  </si>
  <si>
    <t>Total Proceeds</t>
  </si>
  <si>
    <t>Circuit Breaker</t>
  </si>
  <si>
    <t>OFF</t>
  </si>
  <si>
    <t>Enter the number of options outstanding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</si>
</sst>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%_);\(0.0%\)"/>
    <numFmt numFmtId="166" formatCode="#,##0.0_);\(#,##0.0\)"/>
    <numFmt numFmtId="167" formatCode="0.0\x"/>
    <numFmt numFmtId="168" formatCode="0&quot;A&quot;"/>
    <numFmt numFmtId="169" formatCode="0&quot;E&quot;"/>
    <numFmt numFmtId="170" formatCode="0.00_);\(0.00\)"/>
    <numFmt numFmtId="171" formatCode="[$-409]d\-mmm\-yy;@"/>
    <numFmt numFmtId="172" formatCode="0.0%"/>
    <numFmt numFmtId="173" formatCode="0.00%_);\(0.00%\)"/>
    <numFmt numFmtId="174" formatCode="#,##0.0000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sz val="11"/>
      <color rgb="FF00B050"/>
      <name val="Times New Roman"/>
      <family val="1"/>
    </font>
    <font>
      <i/>
      <sz val="11"/>
      <color theme="1"/>
      <name val="Times New Roman"/>
      <family val="1"/>
    </font>
    <font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</font>
    <font>
      <b/>
      <sz val="14"/>
      <name val="Times"/>
      <family val="1"/>
    </font>
    <font>
      <b/>
      <sz val="14"/>
      <name val="Geneva"/>
      <family val="2"/>
    </font>
    <font>
      <sz val="10"/>
      <name val="Times"/>
      <family val="1"/>
    </font>
    <font>
      <b/>
      <i/>
      <sz val="10"/>
      <name val="Times"/>
      <family val="1"/>
    </font>
    <font>
      <i/>
      <sz val="10"/>
      <name val="Times"/>
      <family val="1"/>
    </font>
    <font>
      <i/>
      <sz val="10"/>
      <name val="Geneva"/>
      <family val="2"/>
    </font>
    <font>
      <b/>
      <sz val="10"/>
      <name val="Times"/>
      <family val="1"/>
    </font>
    <font>
      <sz val="10"/>
      <color theme="4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 applyFill="0"/>
    <xf numFmtId="0" fontId="2" fillId="0" borderId="0"/>
    <xf numFmtId="0" fontId="1" fillId="0" borderId="0"/>
    <xf numFmtId="0" fontId="14" fillId="0" borderId="0" applyFill="0"/>
    <xf numFmtId="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1" applyFont="1"/>
    <xf numFmtId="166" fontId="3" fillId="0" borderId="0" xfId="1" applyNumberFormat="1" applyFont="1"/>
    <xf numFmtId="166" fontId="6" fillId="0" borderId="0" xfId="1" applyNumberFormat="1" applyFont="1"/>
    <xf numFmtId="0" fontId="6" fillId="0" borderId="0" xfId="1" applyFont="1"/>
    <xf numFmtId="0" fontId="9" fillId="2" borderId="0" xfId="1" applyFont="1" applyFill="1" applyAlignment="1">
      <alignment horizontal="centerContinuous"/>
    </xf>
    <xf numFmtId="0" fontId="10" fillId="2" borderId="0" xfId="1" applyFont="1" applyFill="1" applyAlignment="1">
      <alignment horizontal="centerContinuous"/>
    </xf>
    <xf numFmtId="165" fontId="3" fillId="0" borderId="0" xfId="1" applyNumberFormat="1" applyFont="1"/>
    <xf numFmtId="165" fontId="7" fillId="0" borderId="0" xfId="1" applyNumberFormat="1" applyFont="1"/>
    <xf numFmtId="0" fontId="3" fillId="0" borderId="2" xfId="1" applyFont="1" applyBorder="1"/>
    <xf numFmtId="0" fontId="3" fillId="0" borderId="4" xfId="1" applyFont="1" applyBorder="1"/>
    <xf numFmtId="166" fontId="3" fillId="0" borderId="5" xfId="1" applyNumberFormat="1" applyFont="1" applyBorder="1"/>
    <xf numFmtId="0" fontId="3" fillId="0" borderId="0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0" fontId="6" fillId="0" borderId="9" xfId="1" applyFont="1" applyBorder="1"/>
    <xf numFmtId="165" fontId="3" fillId="0" borderId="5" xfId="1" applyNumberFormat="1" applyFont="1" applyBorder="1"/>
    <xf numFmtId="0" fontId="6" fillId="0" borderId="0" xfId="1" applyFont="1" applyAlignment="1">
      <alignment horizontal="center"/>
    </xf>
    <xf numFmtId="0" fontId="6" fillId="0" borderId="7" xfId="1" applyFont="1" applyBorder="1" applyAlignment="1">
      <alignment horizontal="center"/>
    </xf>
    <xf numFmtId="168" fontId="4" fillId="0" borderId="0" xfId="1" applyNumberFormat="1" applyFont="1" applyAlignment="1">
      <alignment horizontal="center"/>
    </xf>
    <xf numFmtId="0" fontId="6" fillId="0" borderId="10" xfId="1" applyFont="1" applyBorder="1" applyAlignment="1">
      <alignment horizontal="centerContinuous"/>
    </xf>
    <xf numFmtId="0" fontId="6" fillId="0" borderId="1" xfId="1" applyFont="1" applyBorder="1" applyAlignment="1">
      <alignment horizontal="centerContinuous"/>
    </xf>
    <xf numFmtId="0" fontId="6" fillId="0" borderId="11" xfId="1" applyFont="1" applyBorder="1" applyAlignment="1">
      <alignment horizontal="centerContinuous"/>
    </xf>
    <xf numFmtId="164" fontId="3" fillId="0" borderId="0" xfId="1" applyNumberFormat="1" applyFont="1"/>
    <xf numFmtId="164" fontId="3" fillId="0" borderId="5" xfId="1" applyNumberFormat="1" applyFont="1" applyBorder="1"/>
    <xf numFmtId="0" fontId="6" fillId="0" borderId="0" xfId="1" applyFont="1" applyBorder="1"/>
    <xf numFmtId="166" fontId="11" fillId="0" borderId="5" xfId="1" applyNumberFormat="1" applyFont="1" applyBorder="1"/>
    <xf numFmtId="166" fontId="11" fillId="0" borderId="0" xfId="1" applyNumberFormat="1" applyFont="1" applyBorder="1"/>
    <xf numFmtId="164" fontId="11" fillId="0" borderId="5" xfId="1" applyNumberFormat="1" applyFont="1" applyBorder="1"/>
    <xf numFmtId="164" fontId="11" fillId="0" borderId="0" xfId="1" applyNumberFormat="1" applyFont="1" applyBorder="1"/>
    <xf numFmtId="5" fontId="3" fillId="0" borderId="0" xfId="1" applyNumberFormat="1" applyFont="1"/>
    <xf numFmtId="9" fontId="3" fillId="0" borderId="0" xfId="1" applyNumberFormat="1" applyFont="1"/>
    <xf numFmtId="164" fontId="3" fillId="0" borderId="3" xfId="1" applyNumberFormat="1" applyFont="1" applyBorder="1"/>
    <xf numFmtId="166" fontId="8" fillId="0" borderId="5" xfId="1" applyNumberFormat="1" applyFont="1" applyBorder="1"/>
    <xf numFmtId="165" fontId="8" fillId="0" borderId="5" xfId="1" applyNumberFormat="1" applyFont="1" applyBorder="1"/>
    <xf numFmtId="167" fontId="7" fillId="0" borderId="5" xfId="1" applyNumberFormat="1" applyFont="1" applyBorder="1"/>
    <xf numFmtId="165" fontId="7" fillId="0" borderId="5" xfId="1" applyNumberFormat="1" applyFont="1" applyBorder="1"/>
    <xf numFmtId="166" fontId="7" fillId="0" borderId="0" xfId="1" applyNumberFormat="1" applyFont="1"/>
    <xf numFmtId="166" fontId="3" fillId="0" borderId="0" xfId="1" applyNumberFormat="1" applyFont="1" applyBorder="1"/>
    <xf numFmtId="0" fontId="4" fillId="0" borderId="0" xfId="1" applyFont="1" applyAlignment="1">
      <alignment horizontal="center"/>
    </xf>
    <xf numFmtId="166" fontId="8" fillId="0" borderId="0" xfId="1" applyNumberFormat="1" applyFont="1"/>
    <xf numFmtId="0" fontId="3" fillId="0" borderId="0" xfId="1" applyFont="1" applyFill="1" applyBorder="1"/>
    <xf numFmtId="166" fontId="8" fillId="0" borderId="0" xfId="1" applyNumberFormat="1" applyFont="1" applyBorder="1"/>
    <xf numFmtId="164" fontId="4" fillId="0" borderId="0" xfId="1" applyNumberFormat="1" applyFont="1" applyBorder="1"/>
    <xf numFmtId="164" fontId="4" fillId="0" borderId="5" xfId="1" applyNumberFormat="1" applyFont="1" applyBorder="1"/>
    <xf numFmtId="166" fontId="8" fillId="0" borderId="8" xfId="1" applyNumberFormat="1" applyFont="1" applyBorder="1"/>
    <xf numFmtId="166" fontId="8" fillId="0" borderId="7" xfId="1" applyNumberFormat="1" applyFont="1" applyBorder="1"/>
    <xf numFmtId="9" fontId="7" fillId="0" borderId="0" xfId="1" applyNumberFormat="1" applyFont="1" applyBorder="1"/>
    <xf numFmtId="166" fontId="4" fillId="0" borderId="8" xfId="1" applyNumberFormat="1" applyFont="1" applyBorder="1"/>
    <xf numFmtId="166" fontId="4" fillId="0" borderId="7" xfId="1" applyNumberFormat="1" applyFont="1" applyBorder="1"/>
    <xf numFmtId="0" fontId="6" fillId="0" borderId="8" xfId="1" applyFont="1" applyBorder="1"/>
    <xf numFmtId="166" fontId="11" fillId="0" borderId="0" xfId="1" applyNumberFormat="1" applyFont="1"/>
    <xf numFmtId="166" fontId="4" fillId="0" borderId="5" xfId="1" applyNumberFormat="1" applyFont="1" applyBorder="1"/>
    <xf numFmtId="166" fontId="4" fillId="0" borderId="0" xfId="1" applyNumberFormat="1" applyFont="1"/>
    <xf numFmtId="164" fontId="3" fillId="0" borderId="0" xfId="1" applyNumberFormat="1" applyFont="1" applyBorder="1"/>
    <xf numFmtId="169" fontId="6" fillId="0" borderId="8" xfId="1" applyNumberFormat="1" applyFont="1" applyBorder="1" applyAlignment="1">
      <alignment horizontal="center"/>
    </xf>
    <xf numFmtId="168" fontId="6" fillId="0" borderId="7" xfId="1" applyNumberFormat="1" applyFont="1" applyBorder="1" applyAlignment="1">
      <alignment horizontal="center"/>
    </xf>
    <xf numFmtId="168" fontId="6" fillId="0" borderId="8" xfId="1" applyNumberFormat="1" applyFont="1" applyBorder="1" applyAlignment="1">
      <alignment horizontal="center"/>
    </xf>
    <xf numFmtId="168" fontId="5" fillId="0" borderId="8" xfId="1" applyNumberFormat="1" applyFont="1" applyBorder="1" applyAlignment="1">
      <alignment horizontal="center"/>
    </xf>
    <xf numFmtId="0" fontId="12" fillId="0" borderId="0" xfId="1" applyFont="1"/>
    <xf numFmtId="0" fontId="0" fillId="0" borderId="0" xfId="0" applyFill="1"/>
    <xf numFmtId="166" fontId="0" fillId="0" borderId="0" xfId="0" applyNumberFormat="1" applyFill="1"/>
    <xf numFmtId="0" fontId="13" fillId="0" borderId="12" xfId="0" applyFont="1" applyFill="1" applyBorder="1" applyAlignment="1">
      <alignment horizontal="left" vertical="top" wrapText="1"/>
    </xf>
    <xf numFmtId="166" fontId="0" fillId="0" borderId="0" xfId="0" applyNumberFormat="1" applyFill="1" applyAlignment="1">
      <alignment horizontal="right"/>
    </xf>
    <xf numFmtId="0" fontId="14" fillId="0" borderId="0" xfId="0" applyFont="1" applyFill="1"/>
    <xf numFmtId="0" fontId="15" fillId="0" borderId="0" xfId="0" applyFont="1" applyFill="1" applyAlignment="1">
      <alignment horizontal="right" vertical="top" wrapText="1"/>
    </xf>
    <xf numFmtId="0" fontId="0" fillId="0" borderId="0" xfId="0" applyFill="1" applyAlignment="1">
      <alignment horizontal="left"/>
    </xf>
    <xf numFmtId="166" fontId="15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Continuous"/>
    </xf>
    <xf numFmtId="0" fontId="15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18" fillId="0" borderId="0" xfId="0" applyFont="1" applyFill="1" applyAlignment="1">
      <alignment horizontal="left" vertical="top"/>
    </xf>
    <xf numFmtId="0" fontId="18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15" fillId="0" borderId="0" xfId="0" applyFont="1" applyFill="1"/>
    <xf numFmtId="166" fontId="15" fillId="0" borderId="0" xfId="0" applyNumberFormat="1" applyFont="1" applyFill="1"/>
    <xf numFmtId="0" fontId="0" fillId="0" borderId="0" xfId="0" applyFill="1"/>
    <xf numFmtId="0" fontId="10" fillId="2" borderId="0" xfId="2" applyFont="1" applyFill="1" applyAlignment="1">
      <alignment horizontal="centerContinuous"/>
    </xf>
    <xf numFmtId="0" fontId="9" fillId="2" borderId="0" xfId="2" applyFont="1" applyFill="1" applyAlignment="1">
      <alignment horizontal="centerContinuous"/>
    </xf>
    <xf numFmtId="0" fontId="3" fillId="0" borderId="0" xfId="2" applyFont="1" applyBorder="1"/>
    <xf numFmtId="0" fontId="3" fillId="0" borderId="8" xfId="2" applyFont="1" applyBorder="1"/>
    <xf numFmtId="0" fontId="6" fillId="0" borderId="9" xfId="2" applyFont="1" applyBorder="1"/>
    <xf numFmtId="0" fontId="3" fillId="0" borderId="7" xfId="2" applyFont="1" applyBorder="1"/>
    <xf numFmtId="0" fontId="3" fillId="0" borderId="6" xfId="2" applyFont="1" applyBorder="1"/>
    <xf numFmtId="166" fontId="3" fillId="0" borderId="5" xfId="2" applyNumberFormat="1" applyFont="1" applyBorder="1"/>
    <xf numFmtId="166" fontId="7" fillId="0" borderId="5" xfId="2" applyNumberFormat="1" applyFont="1" applyBorder="1"/>
    <xf numFmtId="0" fontId="3" fillId="0" borderId="4" xfId="2" applyFont="1" applyBorder="1"/>
    <xf numFmtId="0" fontId="3" fillId="0" borderId="2" xfId="2" applyFont="1" applyBorder="1"/>
    <xf numFmtId="164" fontId="3" fillId="0" borderId="3" xfId="2" applyNumberFormat="1" applyFont="1" applyBorder="1"/>
    <xf numFmtId="164" fontId="7" fillId="0" borderId="5" xfId="2" applyNumberFormat="1" applyFont="1" applyBorder="1"/>
    <xf numFmtId="7" fontId="7" fillId="0" borderId="5" xfId="2" applyNumberFormat="1" applyFont="1" applyBorder="1"/>
    <xf numFmtId="0" fontId="10" fillId="0" borderId="0" xfId="1" applyFont="1" applyFill="1" applyAlignment="1">
      <alignment horizontal="centerContinuous"/>
    </xf>
    <xf numFmtId="0" fontId="9" fillId="0" borderId="0" xfId="1" applyFont="1" applyFill="1" applyAlignment="1">
      <alignment horizontal="centerContinuous"/>
    </xf>
    <xf numFmtId="0" fontId="6" fillId="0" borderId="0" xfId="0" applyFont="1"/>
    <xf numFmtId="0" fontId="3" fillId="0" borderId="0" xfId="0" applyFont="1"/>
    <xf numFmtId="170" fontId="3" fillId="0" borderId="0" xfId="1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3" xfId="0" applyFont="1" applyBorder="1"/>
    <xf numFmtId="171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6" fontId="7" fillId="0" borderId="0" xfId="0" applyNumberFormat="1" applyFont="1"/>
    <xf numFmtId="172" fontId="3" fillId="0" borderId="0" xfId="0" applyNumberFormat="1" applyFont="1"/>
    <xf numFmtId="39" fontId="7" fillId="0" borderId="0" xfId="0" applyNumberFormat="1" applyFont="1" applyFill="1"/>
    <xf numFmtId="39" fontId="3" fillId="0" borderId="0" xfId="0" applyNumberFormat="1" applyFont="1"/>
    <xf numFmtId="172" fontId="7" fillId="0" borderId="0" xfId="0" applyNumberFormat="1" applyFont="1"/>
    <xf numFmtId="172" fontId="8" fillId="0" borderId="0" xfId="0" applyNumberFormat="1" applyFont="1"/>
    <xf numFmtId="39" fontId="6" fillId="0" borderId="0" xfId="0" applyNumberFormat="1" applyFont="1"/>
    <xf numFmtId="166" fontId="7" fillId="0" borderId="0" xfId="0" applyNumberFormat="1" applyFont="1" applyFill="1"/>
    <xf numFmtId="166" fontId="3" fillId="0" borderId="0" xfId="0" applyNumberFormat="1" applyFont="1"/>
    <xf numFmtId="2" fontId="3" fillId="0" borderId="0" xfId="0" applyNumberFormat="1" applyFont="1"/>
    <xf numFmtId="172" fontId="0" fillId="0" borderId="0" xfId="4" applyNumberFormat="1" applyFont="1"/>
    <xf numFmtId="37" fontId="3" fillId="0" borderId="0" xfId="1" applyNumberFormat="1" applyFont="1"/>
    <xf numFmtId="173" fontId="7" fillId="0" borderId="0" xfId="1" applyNumberFormat="1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0" fillId="0" borderId="14" xfId="0" applyFont="1" applyBorder="1"/>
    <xf numFmtId="0" fontId="26" fillId="0" borderId="14" xfId="0" applyFont="1" applyBorder="1"/>
    <xf numFmtId="10" fontId="30" fillId="0" borderId="0" xfId="0" applyNumberFormat="1" applyFont="1"/>
    <xf numFmtId="3" fontId="26" fillId="0" borderId="14" xfId="0" applyNumberFormat="1" applyFont="1" applyBorder="1"/>
    <xf numFmtId="10" fontId="30" fillId="0" borderId="14" xfId="0" applyNumberFormat="1" applyFont="1" applyBorder="1"/>
    <xf numFmtId="174" fontId="30" fillId="0" borderId="14" xfId="5" applyNumberFormat="1" applyFont="1" applyBorder="1"/>
    <xf numFmtId="10" fontId="26" fillId="0" borderId="14" xfId="0" applyNumberFormat="1" applyFont="1" applyBorder="1"/>
    <xf numFmtId="44" fontId="26" fillId="0" borderId="15" xfId="6" applyFont="1" applyBorder="1"/>
    <xf numFmtId="44" fontId="26" fillId="0" borderId="0" xfId="6" applyFont="1"/>
    <xf numFmtId="8" fontId="26" fillId="0" borderId="15" xfId="0" applyNumberFormat="1" applyFont="1" applyBorder="1"/>
    <xf numFmtId="0" fontId="3" fillId="0" borderId="5" xfId="1" applyFont="1" applyBorder="1"/>
    <xf numFmtId="8" fontId="3" fillId="0" borderId="5" xfId="1" applyNumberFormat="1" applyFont="1" applyBorder="1"/>
    <xf numFmtId="8" fontId="3" fillId="0" borderId="3" xfId="1" applyNumberFormat="1" applyFont="1" applyBorder="1"/>
    <xf numFmtId="7" fontId="3" fillId="0" borderId="3" xfId="1" applyNumberFormat="1" applyFont="1" applyBorder="1"/>
    <xf numFmtId="8" fontId="26" fillId="0" borderId="14" xfId="0" applyNumberFormat="1" applyFont="1" applyFill="1" applyBorder="1"/>
    <xf numFmtId="4" fontId="26" fillId="0" borderId="14" xfId="0" applyNumberFormat="1" applyFont="1" applyFill="1" applyBorder="1"/>
    <xf numFmtId="44" fontId="31" fillId="0" borderId="14" xfId="6" applyFont="1" applyFill="1" applyBorder="1"/>
    <xf numFmtId="2" fontId="31" fillId="0" borderId="14" xfId="0" applyNumberFormat="1" applyFont="1" applyFill="1" applyBorder="1"/>
    <xf numFmtId="10" fontId="31" fillId="0" borderId="14" xfId="4" applyNumberFormat="1" applyFont="1" applyFill="1" applyBorder="1"/>
    <xf numFmtId="10" fontId="31" fillId="0" borderId="14" xfId="0" applyNumberFormat="1" applyFont="1" applyFill="1" applyBorder="1"/>
    <xf numFmtId="4" fontId="26" fillId="0" borderId="0" xfId="0" applyNumberFormat="1" applyFont="1" applyFill="1" applyBorder="1"/>
  </cellXfs>
  <cellStyles count="7">
    <cellStyle name="Comma" xfId="5" builtinId="3"/>
    <cellStyle name="Currency" xfId="6" builtinId="4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Teaching/FNCE%203477/Gentex%20case%20study/2018S/10.%20Gentex_ValuationChart_Solution_2018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ran13/Downloads/KKD_multip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NTX_Chart"/>
      <sheetName val="GNTX_DCF"/>
      <sheetName val="GNTX_Comps"/>
      <sheetName val="VC_LTM"/>
      <sheetName val="VC_IS"/>
      <sheetName val="VC_CF"/>
      <sheetName val="VC_BS"/>
      <sheetName val="THRM_LTM"/>
      <sheetName val="THRM_IS"/>
      <sheetName val="THRM_CF"/>
      <sheetName val="THRM_BS"/>
      <sheetName val="BWA_LTM"/>
      <sheetName val="BWA_IS"/>
      <sheetName val="BWA_CF"/>
      <sheetName val="BWA_BS"/>
      <sheetName val="AXL_LTM"/>
      <sheetName val="AXL_IS"/>
      <sheetName val="AXL_CF"/>
      <sheetName val="AXL_BS"/>
      <sheetName val="DAN_LTM"/>
      <sheetName val="DAN_IS"/>
      <sheetName val="DAN_CF"/>
      <sheetName val="DAN_BS"/>
      <sheetName val="LEA_LTM"/>
      <sheetName val="LEA_IS"/>
      <sheetName val="LEA_CF"/>
      <sheetName val="LEA_BS"/>
      <sheetName val="GNTX_LTM"/>
      <sheetName val="Gentex_IS"/>
      <sheetName val="Gentex_CF"/>
      <sheetName val="Gentex_BS"/>
      <sheetName val="RegBeta"/>
      <sheetName val="Gentex_BS_Vertical"/>
      <sheetName val="Gentex_IS_Vertical"/>
      <sheetName val="Gentex_IS_Horizontal"/>
      <sheetName val="Gentex_Ratios"/>
    </sheetNames>
    <sheetDataSet>
      <sheetData sheetId="0">
        <row r="8">
          <cell r="F8" t="str">
            <v>Low</v>
          </cell>
        </row>
      </sheetData>
      <sheetData sheetId="1"/>
      <sheetData sheetId="2"/>
      <sheetData sheetId="3"/>
      <sheetData sheetId="4"/>
      <sheetData sheetId="5"/>
      <sheetData sheetId="6">
        <row r="109">
          <cell r="B109">
            <v>393</v>
          </cell>
        </row>
      </sheetData>
      <sheetData sheetId="7"/>
      <sheetData sheetId="8"/>
      <sheetData sheetId="9"/>
      <sheetData sheetId="10">
        <row r="78">
          <cell r="B78">
            <v>144.66900000000001</v>
          </cell>
        </row>
      </sheetData>
      <sheetData sheetId="11"/>
      <sheetData sheetId="12"/>
      <sheetData sheetId="13"/>
      <sheetData sheetId="14">
        <row r="111">
          <cell r="B111">
            <v>2188.2999999999997</v>
          </cell>
        </row>
      </sheetData>
      <sheetData sheetId="15"/>
      <sheetData sheetId="16"/>
      <sheetData sheetId="17"/>
      <sheetData sheetId="18">
        <row r="65">
          <cell r="B65">
            <v>3975.2000000000003</v>
          </cell>
        </row>
      </sheetData>
      <sheetData sheetId="19"/>
      <sheetData sheetId="20"/>
      <sheetData sheetId="21"/>
      <sheetData sheetId="22">
        <row r="94">
          <cell r="B94">
            <v>1799</v>
          </cell>
        </row>
      </sheetData>
      <sheetData sheetId="23"/>
      <sheetData sheetId="24"/>
      <sheetData sheetId="25"/>
      <sheetData sheetId="26">
        <row r="58">
          <cell r="B58">
            <v>1960.5</v>
          </cell>
        </row>
      </sheetData>
      <sheetData sheetId="27">
        <row r="11">
          <cell r="E11">
            <v>-644.27200000000005</v>
          </cell>
        </row>
        <row r="12">
          <cell r="E12">
            <v>0</v>
          </cell>
        </row>
        <row r="13">
          <cell r="E13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_Perf"/>
      <sheetName val="KKD_IS_LY"/>
      <sheetName val="KKD_IS_LQ"/>
      <sheetName val="KKD_BS_LQ"/>
      <sheetName val="KKD_LTM"/>
      <sheetName val="Dunkin_BS_LY"/>
      <sheetName val="Dunkin_IS_LY"/>
      <sheetName val="Denny_BS_LQ"/>
      <sheetName val="Denny_IS_LY"/>
      <sheetName val="Denny_IS_LQ"/>
      <sheetName val="Denny_LTM"/>
      <sheetName val="Sonic_BS_LQ"/>
      <sheetName val="Sonic_IS_LY"/>
      <sheetName val="Sonic_IS_LQ"/>
      <sheetName val="Sonic_LTM"/>
      <sheetName val="Panera_BS_LY"/>
      <sheetName val="Panera_IS_LY"/>
      <sheetName val="DineEquity_BS_LQ"/>
      <sheetName val="DineEquity_IS_LY"/>
      <sheetName val="DineEquity_IS_LQ"/>
      <sheetName val="DineEquity_LTM"/>
      <sheetName val="RedRobin_BS_LY"/>
      <sheetName val="RedRobin_IS_LY"/>
    </sheetNames>
    <sheetDataSet>
      <sheetData sheetId="0"/>
      <sheetData sheetId="1"/>
      <sheetData sheetId="2"/>
      <sheetData sheetId="3"/>
      <sheetData sheetId="4">
        <row r="3">
          <cell r="B3">
            <v>37.268999999999998</v>
          </cell>
        </row>
      </sheetData>
      <sheetData sheetId="5">
        <row r="6">
          <cell r="E6">
            <v>68.782999999999973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32"/>
  <sheetViews>
    <sheetView showGridLines="0" tabSelected="1" topLeftCell="A74" zoomScale="85" zoomScaleNormal="85" workbookViewId="0">
      <selection activeCell="I100" sqref="I100"/>
    </sheetView>
  </sheetViews>
  <sheetFormatPr defaultColWidth="9.1796875" defaultRowHeight="14" outlineLevelRow="1"/>
  <cols>
    <col min="1" max="1" width="3.81640625" style="1" customWidth="1"/>
    <col min="2" max="2" width="30.7265625" style="1" customWidth="1"/>
    <col min="3" max="3" width="6.08984375" style="1" bestFit="1" customWidth="1"/>
    <col min="4" max="4" width="8.54296875" style="1" customWidth="1"/>
    <col min="5" max="5" width="9.7265625" style="1" customWidth="1"/>
    <col min="6" max="6" width="15.453125" style="1" bestFit="1" customWidth="1"/>
    <col min="7" max="7" width="9.81640625" style="1" customWidth="1"/>
    <col min="8" max="8" width="11.453125" style="1" customWidth="1"/>
    <col min="9" max="9" width="10.54296875" style="1" customWidth="1"/>
    <col min="10" max="10" width="9.54296875" style="1" customWidth="1"/>
    <col min="11" max="11" width="11.81640625" style="1" customWidth="1"/>
    <col min="12" max="12" width="9.7265625" style="1" customWidth="1"/>
    <col min="13" max="13" width="9.453125" style="1" customWidth="1"/>
    <col min="14" max="14" width="9.54296875" style="1" bestFit="1" customWidth="1"/>
    <col min="15" max="15" width="9.26953125" style="1" customWidth="1"/>
    <col min="16" max="18" width="9.1796875" style="1"/>
    <col min="19" max="19" width="10.453125" style="1" bestFit="1" customWidth="1"/>
    <col min="20" max="16384" width="9.1796875" style="1"/>
  </cols>
  <sheetData>
    <row r="1" spans="1:15">
      <c r="B1" s="4" t="s">
        <v>53</v>
      </c>
    </row>
    <row r="2" spans="1:15">
      <c r="B2" s="60" t="s">
        <v>52</v>
      </c>
      <c r="D2" s="60"/>
      <c r="E2" s="60"/>
    </row>
    <row r="3" spans="1:15">
      <c r="B3" s="60"/>
      <c r="D3" s="60"/>
      <c r="E3" s="60"/>
    </row>
    <row r="4" spans="1:15">
      <c r="A4" s="1" t="s">
        <v>185</v>
      </c>
      <c r="B4" s="6" t="s">
        <v>51</v>
      </c>
      <c r="C4" s="5"/>
      <c r="D4" s="6"/>
      <c r="E4" s="6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C5" s="60"/>
      <c r="D5" s="60"/>
      <c r="E5" s="60"/>
    </row>
    <row r="6" spans="1:15">
      <c r="B6" s="60"/>
      <c r="C6" s="60"/>
      <c r="D6" s="60"/>
      <c r="E6" s="60"/>
      <c r="F6" s="23" t="s">
        <v>9</v>
      </c>
      <c r="G6" s="22"/>
      <c r="H6" s="22"/>
      <c r="I6" s="22"/>
      <c r="J6" s="21"/>
      <c r="K6" s="23" t="s">
        <v>8</v>
      </c>
      <c r="L6" s="22"/>
      <c r="M6" s="22"/>
      <c r="N6" s="22"/>
      <c r="O6" s="21"/>
    </row>
    <row r="7" spans="1:15">
      <c r="B7" s="60"/>
      <c r="C7" s="60"/>
      <c r="D7" s="60"/>
      <c r="E7" s="60"/>
      <c r="F7" s="59">
        <v>2014</v>
      </c>
      <c r="G7" s="58">
        <f t="shared" ref="G7:O7" si="0">F7+1</f>
        <v>2015</v>
      </c>
      <c r="H7" s="58">
        <f t="shared" si="0"/>
        <v>2016</v>
      </c>
      <c r="I7" s="58">
        <f t="shared" si="0"/>
        <v>2017</v>
      </c>
      <c r="J7" s="57">
        <f t="shared" si="0"/>
        <v>2018</v>
      </c>
      <c r="K7" s="56">
        <f t="shared" si="0"/>
        <v>2019</v>
      </c>
      <c r="L7" s="56">
        <f t="shared" si="0"/>
        <v>2020</v>
      </c>
      <c r="M7" s="56">
        <f t="shared" si="0"/>
        <v>2021</v>
      </c>
      <c r="N7" s="56">
        <f t="shared" si="0"/>
        <v>2022</v>
      </c>
      <c r="O7" s="56">
        <f t="shared" si="0"/>
        <v>2023</v>
      </c>
    </row>
    <row r="8" spans="1:15">
      <c r="B8" s="1" t="s">
        <v>50</v>
      </c>
      <c r="F8" s="30">
        <f>VLOOKUP($B8,GNTX_IS!$A$7:$H$15,MATCH(GNTX_DCF!F$7,GNTX_IS!$A$7:$H$7,0),0)</f>
        <v>1375.501</v>
      </c>
      <c r="G8" s="30">
        <f>VLOOKUP($B8,GNTX_IS!$A$7:$H$15,MATCH(GNTX_DCF!G$7,GNTX_IS!$A$7:$H$7,0),0)</f>
        <v>1543.6179999999999</v>
      </c>
      <c r="H8" s="30">
        <f>VLOOKUP($B8,GNTX_IS!$A$7:$H$15,MATCH(GNTX_DCF!H$7,GNTX_IS!$A$7:$H$7,0),0)</f>
        <v>1678.925</v>
      </c>
      <c r="I8" s="30">
        <f>VLOOKUP($B8,GNTX_IS!$A$7:$H$15,MATCH(GNTX_DCF!I$7,GNTX_IS!$A$7:$H$7,0),0)</f>
        <v>1794.873</v>
      </c>
      <c r="J8" s="29">
        <f>VLOOKUP($B8,GNTX_IS!$A$7:$H$15,MATCH(GNTX_DCF!J$7,GNTX_IS!$A$7:$H$7,0),0)</f>
        <v>1834.063697</v>
      </c>
      <c r="K8" s="55">
        <f>J8*(1+K27)</f>
        <v>1916.5965633649998</v>
      </c>
      <c r="L8" s="55">
        <f t="shared" ref="L8:O8" si="1">K8*(1+L27)</f>
        <v>2005.2391544206309</v>
      </c>
      <c r="M8" s="55">
        <f t="shared" si="1"/>
        <v>2100.4880142556112</v>
      </c>
      <c r="N8" s="55">
        <f t="shared" si="1"/>
        <v>2202.8868049505722</v>
      </c>
      <c r="O8" s="55">
        <f t="shared" si="1"/>
        <v>2313.0311451981011</v>
      </c>
    </row>
    <row r="9" spans="1:15">
      <c r="B9" s="1" t="s">
        <v>49</v>
      </c>
      <c r="F9" s="52">
        <f>VLOOKUP($B9,GNTX_IS!$A$7:$H$15,MATCH(GNTX_DCF!F$7,GNTX_IS!$A$7:$H$7,0),0)</f>
        <v>836.61099999999999</v>
      </c>
      <c r="G9" s="52">
        <f>VLOOKUP($B9,GNTX_IS!$A$7:$H$15,MATCH(GNTX_DCF!G$7,GNTX_IS!$A$7:$H$7,0),0)</f>
        <v>939.84199999999998</v>
      </c>
      <c r="H9" s="52">
        <f>VLOOKUP($B9,GNTX_IS!$A$7:$H$15,MATCH(GNTX_DCF!H$7,GNTX_IS!$A$7:$H$7,0),0)</f>
        <v>1010.473</v>
      </c>
      <c r="I9" s="52">
        <f>VLOOKUP($B9,GNTX_IS!$A$7:$H$15,MATCH(GNTX_DCF!I$7,GNTX_IS!$A$7:$H$7,0),0)</f>
        <v>1100.3440000000001</v>
      </c>
      <c r="J9" s="27">
        <f>VLOOKUP($B9,GNTX_IS!$A$7:$H$15,MATCH(GNTX_DCF!J$7,GNTX_IS!$A$7:$H$7,0),0)</f>
        <v>1143.5970050000001</v>
      </c>
      <c r="K9" s="2">
        <f>K28*K8</f>
        <v>1195.9562555397599</v>
      </c>
      <c r="L9" s="2">
        <f t="shared" ref="L9:O9" si="2">L28*L8</f>
        <v>1251.2692323584738</v>
      </c>
      <c r="M9" s="2">
        <f t="shared" si="2"/>
        <v>1310.7045208955014</v>
      </c>
      <c r="N9" s="2">
        <f t="shared" si="2"/>
        <v>1374.6013662891571</v>
      </c>
      <c r="O9" s="2">
        <f t="shared" si="2"/>
        <v>1443.331434603615</v>
      </c>
    </row>
    <row r="10" spans="1:15">
      <c r="B10" s="4" t="s">
        <v>48</v>
      </c>
      <c r="F10" s="54">
        <f>F8-F9</f>
        <v>538.89</v>
      </c>
      <c r="G10" s="54">
        <f t="shared" ref="G10:J10" si="3">G8-G9</f>
        <v>603.77599999999995</v>
      </c>
      <c r="H10" s="54">
        <f t="shared" si="3"/>
        <v>668.452</v>
      </c>
      <c r="I10" s="54">
        <f t="shared" si="3"/>
        <v>694.529</v>
      </c>
      <c r="J10" s="53">
        <f t="shared" si="3"/>
        <v>690.46669199999997</v>
      </c>
      <c r="K10" s="3">
        <f>K8-K9</f>
        <v>720.64030782523992</v>
      </c>
      <c r="L10" s="3">
        <f t="shared" ref="L10:O10" si="4">L8-L9</f>
        <v>753.96992206215714</v>
      </c>
      <c r="M10" s="3">
        <f t="shared" si="4"/>
        <v>789.78349336010979</v>
      </c>
      <c r="N10" s="3">
        <f t="shared" si="4"/>
        <v>828.28543866141513</v>
      </c>
      <c r="O10" s="3">
        <f t="shared" si="4"/>
        <v>869.69971059448608</v>
      </c>
    </row>
    <row r="11" spans="1:15">
      <c r="B11" s="4"/>
      <c r="F11" s="52"/>
      <c r="G11" s="52"/>
      <c r="H11" s="52"/>
      <c r="I11" s="52"/>
      <c r="J11" s="27"/>
      <c r="K11" s="2"/>
      <c r="L11" s="2"/>
      <c r="M11" s="2"/>
      <c r="N11" s="2"/>
      <c r="O11" s="2"/>
    </row>
    <row r="12" spans="1:15">
      <c r="B12" s="12" t="s">
        <v>47</v>
      </c>
      <c r="C12" s="12"/>
      <c r="D12" s="12"/>
      <c r="E12" s="12"/>
      <c r="F12" s="28">
        <f>VLOOKUP($B12,GNTX_IS!$A$7:$H$15,MATCH(GNTX_DCF!F$7,GNTX_IS!$A$7:$H$7,0),0)</f>
        <v>84.176000000000002</v>
      </c>
      <c r="G12" s="28">
        <f>VLOOKUP($B12,GNTX_IS!$A$7:$H$15,MATCH(GNTX_DCF!G$7,GNTX_IS!$A$7:$H$7,0),0)</f>
        <v>88.393000000000001</v>
      </c>
      <c r="H12" s="28">
        <f>VLOOKUP($B12,GNTX_IS!$A$7:$H$15,MATCH(GNTX_DCF!H$7,GNTX_IS!$A$7:$H$7,0),0)</f>
        <v>94.238</v>
      </c>
      <c r="I12" s="28">
        <f>VLOOKUP($B12,GNTX_IS!$A$7:$H$15,MATCH(GNTX_DCF!I$7,GNTX_IS!$A$7:$H$7,0),0)</f>
        <v>99.725999999999999</v>
      </c>
      <c r="J12" s="27">
        <f>VLOOKUP($B12,GNTX_IS!$A$7:$H$15,MATCH(GNTX_DCF!J$7,GNTX_IS!$A$7:$H$7,0),0)</f>
        <v>107.134862</v>
      </c>
      <c r="K12" s="39">
        <f>K29*K8</f>
        <v>134.16175943555001</v>
      </c>
      <c r="L12" s="39">
        <f t="shared" ref="L12:O12" si="5">L29*L8</f>
        <v>137.86019186641838</v>
      </c>
      <c r="M12" s="39">
        <f t="shared" si="5"/>
        <v>141.78294096225378</v>
      </c>
      <c r="N12" s="39">
        <f t="shared" si="5"/>
        <v>145.94125082797541</v>
      </c>
      <c r="O12" s="39">
        <f t="shared" si="5"/>
        <v>150.34702443787657</v>
      </c>
    </row>
    <row r="13" spans="1:15">
      <c r="B13" s="12" t="s">
        <v>46</v>
      </c>
      <c r="C13" s="12"/>
      <c r="D13" s="12"/>
      <c r="E13" s="12"/>
      <c r="F13" s="28">
        <f>VLOOKUP($B13,GNTX_IS!$A$7:$H$15,MATCH(GNTX_DCF!F$7,GNTX_IS!$A$7:$H$7,0),0)</f>
        <v>55.88</v>
      </c>
      <c r="G13" s="28">
        <f>VLOOKUP($B13,GNTX_IS!$A$7:$H$15,MATCH(GNTX_DCF!G$7,GNTX_IS!$A$7:$H$7,0),0)</f>
        <v>56.616999999999997</v>
      </c>
      <c r="H13" s="28">
        <f>VLOOKUP($B13,GNTX_IS!$A$7:$H$15,MATCH(GNTX_DCF!H$7,GNTX_IS!$A$7:$H$7,0),0)</f>
        <v>62.470999999999997</v>
      </c>
      <c r="I13" s="28">
        <f>VLOOKUP($B13,GNTX_IS!$A$7:$H$15,MATCH(GNTX_DCF!I$7,GNTX_IS!$A$7:$H$7,0),0)</f>
        <v>71.442999999999998</v>
      </c>
      <c r="J13" s="27">
        <f>VLOOKUP($B13,GNTX_IS!$A$7:$H$15,MATCH(GNTX_DCF!J$7,GNTX_IS!$A$7:$H$7,0),0)</f>
        <v>75.206282999999999</v>
      </c>
      <c r="K13" s="39">
        <f>K30*K8</f>
        <v>76.6638625346</v>
      </c>
      <c r="L13" s="39">
        <f t="shared" ref="L13:O13" si="6">L30*L8</f>
        <v>80.209566176825234</v>
      </c>
      <c r="M13" s="39">
        <f t="shared" si="6"/>
        <v>84.019520570224458</v>
      </c>
      <c r="N13" s="39">
        <f t="shared" si="6"/>
        <v>88.115472198022886</v>
      </c>
      <c r="O13" s="39">
        <f t="shared" si="6"/>
        <v>92.521245807924046</v>
      </c>
    </row>
    <row r="14" spans="1:15">
      <c r="B14" s="51" t="s">
        <v>45</v>
      </c>
      <c r="C14" s="51"/>
      <c r="D14" s="51"/>
      <c r="E14" s="51"/>
      <c r="F14" s="49">
        <f>F10-F12-F13</f>
        <v>398.834</v>
      </c>
      <c r="G14" s="49">
        <f t="shared" ref="G14:J14" si="7">G10-G12-G13</f>
        <v>458.76599999999991</v>
      </c>
      <c r="H14" s="49">
        <f t="shared" si="7"/>
        <v>511.74299999999994</v>
      </c>
      <c r="I14" s="49">
        <f t="shared" si="7"/>
        <v>523.36</v>
      </c>
      <c r="J14" s="50">
        <f t="shared" si="7"/>
        <v>508.12554699999998</v>
      </c>
      <c r="K14" s="49">
        <f>K10-K12-K13</f>
        <v>509.81468585508986</v>
      </c>
      <c r="L14" s="49">
        <f t="shared" ref="L14:O14" si="8">L10-L12-L13</f>
        <v>535.90016401891353</v>
      </c>
      <c r="M14" s="49">
        <f t="shared" si="8"/>
        <v>563.98103182763157</v>
      </c>
      <c r="N14" s="49">
        <f t="shared" si="8"/>
        <v>594.22871563541685</v>
      </c>
      <c r="O14" s="49">
        <f t="shared" si="8"/>
        <v>626.83144034868542</v>
      </c>
    </row>
    <row r="15" spans="1:15">
      <c r="B15" s="12" t="s">
        <v>44</v>
      </c>
      <c r="C15" s="48">
        <v>0.21</v>
      </c>
      <c r="D15" s="48">
        <v>0.25</v>
      </c>
      <c r="E15" s="12"/>
      <c r="F15" s="43">
        <f>F14*$D$15</f>
        <v>99.708500000000001</v>
      </c>
      <c r="G15" s="43">
        <f t="shared" ref="G15:J15" si="9">G14*$D$15</f>
        <v>114.69149999999998</v>
      </c>
      <c r="H15" s="43">
        <f t="shared" si="9"/>
        <v>127.93574999999998</v>
      </c>
      <c r="I15" s="43">
        <f t="shared" si="9"/>
        <v>130.84</v>
      </c>
      <c r="J15" s="34">
        <f t="shared" si="9"/>
        <v>127.03138675</v>
      </c>
      <c r="K15" s="43">
        <f>K14*$C$15</f>
        <v>107.06108402956886</v>
      </c>
      <c r="L15" s="43">
        <f t="shared" ref="L15:O15" si="10">L14*$C$15</f>
        <v>112.53903444397184</v>
      </c>
      <c r="M15" s="43">
        <f t="shared" si="10"/>
        <v>118.43601668380262</v>
      </c>
      <c r="N15" s="43">
        <f t="shared" si="10"/>
        <v>124.78803028343754</v>
      </c>
      <c r="O15" s="43">
        <f t="shared" si="10"/>
        <v>131.63460247322394</v>
      </c>
    </row>
    <row r="16" spans="1:15">
      <c r="B16" s="15" t="s">
        <v>43</v>
      </c>
      <c r="C16" s="15"/>
      <c r="D16" s="15"/>
      <c r="E16" s="15"/>
      <c r="F16" s="46">
        <f>F14-F15</f>
        <v>299.12549999999999</v>
      </c>
      <c r="G16" s="46">
        <f t="shared" ref="G16:J16" si="11">G14-G15</f>
        <v>344.07449999999994</v>
      </c>
      <c r="H16" s="46">
        <f t="shared" si="11"/>
        <v>383.80724999999995</v>
      </c>
      <c r="I16" s="46">
        <f t="shared" si="11"/>
        <v>392.52</v>
      </c>
      <c r="J16" s="47">
        <f t="shared" si="11"/>
        <v>381.09416024999996</v>
      </c>
      <c r="K16" s="46">
        <f>K14-K15</f>
        <v>402.753601825521</v>
      </c>
      <c r="L16" s="46">
        <f t="shared" ref="L16:O16" si="12">L14-L15</f>
        <v>423.36112957494169</v>
      </c>
      <c r="M16" s="46">
        <f t="shared" si="12"/>
        <v>445.54501514382895</v>
      </c>
      <c r="N16" s="46">
        <f t="shared" si="12"/>
        <v>469.44068535197931</v>
      </c>
      <c r="O16" s="46">
        <f t="shared" si="12"/>
        <v>495.19683787546148</v>
      </c>
    </row>
    <row r="17" spans="2:19">
      <c r="B17" s="12"/>
      <c r="C17" s="12"/>
      <c r="D17" s="12"/>
      <c r="E17" s="12"/>
      <c r="F17" s="43"/>
      <c r="G17" s="43"/>
      <c r="H17" s="43"/>
      <c r="I17" s="43"/>
      <c r="J17" s="34"/>
      <c r="K17" s="12"/>
      <c r="L17" s="12"/>
      <c r="M17" s="12"/>
      <c r="N17" s="12"/>
      <c r="O17" s="12"/>
    </row>
    <row r="18" spans="2:19">
      <c r="B18" s="12" t="s">
        <v>42</v>
      </c>
      <c r="C18" s="12"/>
      <c r="D18" s="12"/>
      <c r="E18" s="12"/>
      <c r="F18" s="28">
        <f>VLOOKUP($B18,GNTX_CF!$A$46:$H$48,MATCH(GNTX_DCF!F$7,GNTX_CF!$A$46:$H$46,0),0)</f>
        <v>77.376000000000005</v>
      </c>
      <c r="G18" s="28">
        <f>VLOOKUP($B18,GNTX_CF!$A$46:$H$48,MATCH(GNTX_DCF!G$7,GNTX_CF!$A$46:$H$46,0),0)</f>
        <v>80.599000000000004</v>
      </c>
      <c r="H18" s="28">
        <f>VLOOKUP($B18,GNTX_CF!$A$46:$H$48,MATCH(GNTX_DCF!H$7,GNTX_CF!$A$46:$H$46,0),0)</f>
        <v>88.587000000000003</v>
      </c>
      <c r="I18" s="28">
        <f>VLOOKUP($B18,GNTX_CF!$A$46:$H$48,MATCH(GNTX_DCF!I$7,GNTX_CF!$A$46:$H$46,0),0)</f>
        <v>99.570999999999998</v>
      </c>
      <c r="J18" s="27">
        <f>VLOOKUP($B18,GNTX_CF!$A$46:$H$48,MATCH(GNTX_DCF!J$7,GNTX_CF!$A$46:$H$46,0),0)</f>
        <v>102.2</v>
      </c>
      <c r="K18" s="43">
        <f>-K19*K32</f>
        <v>115.95409208358251</v>
      </c>
      <c r="L18" s="43">
        <f t="shared" ref="L18:O18" si="13">-L19*L32</f>
        <v>118.55976500511983</v>
      </c>
      <c r="M18" s="43">
        <f t="shared" si="13"/>
        <v>121.30318282326158</v>
      </c>
      <c r="N18" s="43">
        <f t="shared" si="13"/>
        <v>124.18774362908856</v>
      </c>
      <c r="O18" s="43">
        <f t="shared" si="13"/>
        <v>127.21671298589561</v>
      </c>
    </row>
    <row r="19" spans="2:19">
      <c r="B19" s="12" t="s">
        <v>41</v>
      </c>
      <c r="C19" s="12"/>
      <c r="D19" s="12"/>
      <c r="E19" s="12"/>
      <c r="F19" s="28">
        <f>VLOOKUP($B19,GNTX_CF!$A$46:$H$48,MATCH(GNTX_DCF!F$7,GNTX_CF!$A$46:$H$46,0),0)</f>
        <v>-72.519000000000005</v>
      </c>
      <c r="G19" s="28">
        <f>VLOOKUP($B19,GNTX_CF!$A$46:$H$48,MATCH(GNTX_DCF!G$7,GNTX_CF!$A$46:$H$46,0),0)</f>
        <v>-97.941999999999993</v>
      </c>
      <c r="H19" s="28">
        <f>VLOOKUP($B19,GNTX_CF!$A$46:$H$48,MATCH(GNTX_DCF!H$7,GNTX_CF!$A$46:$H$46,0),0)</f>
        <v>-120.956</v>
      </c>
      <c r="I19" s="28">
        <f>VLOOKUP($B19,GNTX_CF!$A$46:$H$48,MATCH(GNTX_DCF!I$7,GNTX_CF!$A$46:$H$46,0),0)</f>
        <v>-104.041</v>
      </c>
      <c r="J19" s="27">
        <f>VLOOKUP($B19,GNTX_CF!$A$46:$H$48,MATCH(GNTX_DCF!J$7,GNTX_CF!$A$46:$H$46,0),0)</f>
        <v>-85.99</v>
      </c>
      <c r="K19" s="39">
        <f>-K31*K8</f>
        <v>-105.412810985075</v>
      </c>
      <c r="L19" s="39">
        <f t="shared" ref="L19:O19" si="14">-L31*L8</f>
        <v>-110.2881534931347</v>
      </c>
      <c r="M19" s="39">
        <f t="shared" si="14"/>
        <v>-115.52684078405862</v>
      </c>
      <c r="N19" s="39">
        <f t="shared" si="14"/>
        <v>-121.15877427228148</v>
      </c>
      <c r="O19" s="39">
        <f t="shared" si="14"/>
        <v>-127.21671298589555</v>
      </c>
    </row>
    <row r="20" spans="2:19">
      <c r="B20" s="12" t="s">
        <v>40</v>
      </c>
      <c r="C20" s="12"/>
      <c r="D20" s="12"/>
      <c r="E20" s="12"/>
      <c r="F20" s="43"/>
      <c r="G20" s="43">
        <f>-G69</f>
        <v>-71.119999999999976</v>
      </c>
      <c r="H20" s="43">
        <f t="shared" ref="H20:O20" si="15">-H69</f>
        <v>15.263999999999896</v>
      </c>
      <c r="I20" s="43">
        <f t="shared" si="15"/>
        <v>-7.5119999999999436</v>
      </c>
      <c r="J20" s="34">
        <f t="shared" si="15"/>
        <v>1.3139420000000541</v>
      </c>
      <c r="K20" s="43">
        <f t="shared" si="15"/>
        <v>-11.324392138400015</v>
      </c>
      <c r="L20" s="43">
        <f t="shared" si="15"/>
        <v>-14.182814568900938</v>
      </c>
      <c r="M20" s="43">
        <f t="shared" si="15"/>
        <v>-15.239817573596895</v>
      </c>
      <c r="N20" s="43">
        <f t="shared" si="15"/>
        <v>-16.383806511193711</v>
      </c>
      <c r="O20" s="43">
        <f t="shared" si="15"/>
        <v>-17.623094439604643</v>
      </c>
    </row>
    <row r="21" spans="2:19">
      <c r="B21" s="26" t="s">
        <v>39</v>
      </c>
      <c r="C21" s="26"/>
      <c r="D21" s="26"/>
      <c r="E21" s="26"/>
      <c r="F21" s="44"/>
      <c r="G21" s="44">
        <f>SUM(G16:G20)</f>
        <v>255.61149999999995</v>
      </c>
      <c r="H21" s="44">
        <f t="shared" ref="H21:O21" si="16">SUM(H16:H20)</f>
        <v>366.70224999999982</v>
      </c>
      <c r="I21" s="44">
        <f t="shared" si="16"/>
        <v>380.53800000000007</v>
      </c>
      <c r="J21" s="45">
        <f t="shared" si="16"/>
        <v>398.61810224999999</v>
      </c>
      <c r="K21" s="44">
        <f t="shared" si="16"/>
        <v>401.97049078562844</v>
      </c>
      <c r="L21" s="44">
        <f t="shared" si="16"/>
        <v>417.44992651802585</v>
      </c>
      <c r="M21" s="44">
        <f t="shared" si="16"/>
        <v>436.08153960943503</v>
      </c>
      <c r="N21" s="44">
        <f t="shared" si="16"/>
        <v>456.08584819759267</v>
      </c>
      <c r="O21" s="44">
        <f t="shared" si="16"/>
        <v>477.57374343585684</v>
      </c>
    </row>
    <row r="22" spans="2:19">
      <c r="B22" s="12"/>
      <c r="C22" s="26"/>
      <c r="D22" s="26"/>
      <c r="E22" s="26"/>
      <c r="F22" s="43"/>
      <c r="G22" s="43"/>
      <c r="H22" s="43"/>
      <c r="I22" s="43"/>
      <c r="J22" s="43"/>
      <c r="K22" s="12"/>
      <c r="L22" s="12"/>
      <c r="M22" s="12"/>
      <c r="N22" s="12"/>
      <c r="O22" s="12"/>
      <c r="P22" s="42"/>
    </row>
    <row r="23" spans="2:19">
      <c r="F23" s="41"/>
    </row>
    <row r="24" spans="2:19">
      <c r="F24" s="23" t="s">
        <v>9</v>
      </c>
      <c r="G24" s="22"/>
      <c r="H24" s="22"/>
      <c r="I24" s="22"/>
      <c r="J24" s="21"/>
      <c r="K24" s="23" t="s">
        <v>8</v>
      </c>
      <c r="L24" s="22"/>
      <c r="M24" s="22"/>
      <c r="N24" s="22"/>
      <c r="O24" s="21"/>
    </row>
    <row r="25" spans="2:19">
      <c r="F25" s="40">
        <f>F7</f>
        <v>2014</v>
      </c>
      <c r="G25" s="18">
        <f t="shared" ref="G25:O25" si="17">F25+1</f>
        <v>2015</v>
      </c>
      <c r="H25" s="18">
        <f t="shared" si="17"/>
        <v>2016</v>
      </c>
      <c r="I25" s="18">
        <f t="shared" si="17"/>
        <v>2017</v>
      </c>
      <c r="J25" s="19">
        <f t="shared" si="17"/>
        <v>2018</v>
      </c>
      <c r="K25" s="18">
        <f t="shared" si="17"/>
        <v>2019</v>
      </c>
      <c r="L25" s="18">
        <f t="shared" si="17"/>
        <v>2020</v>
      </c>
      <c r="M25" s="18">
        <f t="shared" si="17"/>
        <v>2021</v>
      </c>
      <c r="N25" s="18">
        <f t="shared" si="17"/>
        <v>2022</v>
      </c>
      <c r="O25" s="18">
        <f t="shared" si="17"/>
        <v>2023</v>
      </c>
    </row>
    <row r="26" spans="2:19">
      <c r="B26" s="4" t="s">
        <v>38</v>
      </c>
      <c r="C26" s="4"/>
      <c r="E26" s="4"/>
      <c r="F26" s="7"/>
      <c r="G26" s="7"/>
      <c r="H26" s="7"/>
      <c r="I26" s="7"/>
      <c r="J26" s="17"/>
      <c r="K26" s="7"/>
      <c r="L26" s="7"/>
      <c r="M26" s="7"/>
      <c r="N26" s="7"/>
      <c r="O26" s="7"/>
    </row>
    <row r="27" spans="2:19">
      <c r="B27" s="1" t="s">
        <v>3</v>
      </c>
      <c r="F27" s="7"/>
      <c r="G27" s="7">
        <f>G8/F8-1</f>
        <v>0.1222223757016534</v>
      </c>
      <c r="H27" s="7">
        <f t="shared" ref="H27:J27" si="18">H8/G8-1</f>
        <v>8.765575420861893E-2</v>
      </c>
      <c r="I27" s="7">
        <f t="shared" si="18"/>
        <v>6.9060857393868247E-2</v>
      </c>
      <c r="J27" s="17">
        <f t="shared" si="18"/>
        <v>2.1834802239489859E-2</v>
      </c>
      <c r="K27" s="8">
        <v>4.4999999999999998E-2</v>
      </c>
      <c r="L27" s="7">
        <f>K27+$R27</f>
        <v>4.6249999999999999E-2</v>
      </c>
      <c r="M27" s="7">
        <f t="shared" ref="M27:O27" si="19">L27+$R27</f>
        <v>4.7500000000000001E-2</v>
      </c>
      <c r="N27" s="7">
        <f t="shared" si="19"/>
        <v>4.8750000000000002E-2</v>
      </c>
      <c r="O27" s="7">
        <f t="shared" si="19"/>
        <v>0.05</v>
      </c>
      <c r="Q27" s="7" t="s">
        <v>4</v>
      </c>
      <c r="R27" s="116">
        <f>(S27-K27)/($O$25-$K$25)</f>
        <v>1.2500000000000011E-3</v>
      </c>
      <c r="S27" s="8">
        <v>0.05</v>
      </c>
    </row>
    <row r="28" spans="2:19">
      <c r="B28" s="1" t="s">
        <v>2</v>
      </c>
      <c r="F28" s="7">
        <f>F9/F8</f>
        <v>0.60822274938367915</v>
      </c>
      <c r="G28" s="7">
        <f t="shared" ref="G28:J28" si="20">G9/G8</f>
        <v>0.60885659534936754</v>
      </c>
      <c r="H28" s="7">
        <f t="shared" si="20"/>
        <v>0.60185714072993135</v>
      </c>
      <c r="I28" s="7">
        <f t="shared" si="20"/>
        <v>0.61304838838179643</v>
      </c>
      <c r="J28" s="17">
        <f t="shared" si="20"/>
        <v>0.62353178184083535</v>
      </c>
      <c r="K28" s="8">
        <v>0.624</v>
      </c>
      <c r="L28" s="7">
        <f t="shared" ref="L28:O32" si="21">K28+$R28</f>
        <v>0.624</v>
      </c>
      <c r="M28" s="7">
        <f t="shared" si="21"/>
        <v>0.624</v>
      </c>
      <c r="N28" s="7">
        <f t="shared" si="21"/>
        <v>0.624</v>
      </c>
      <c r="O28" s="7">
        <f t="shared" si="21"/>
        <v>0.624</v>
      </c>
      <c r="Q28" s="7" t="s">
        <v>4</v>
      </c>
      <c r="R28" s="116">
        <f t="shared" ref="R28:R32" si="22">(S28-K28)/($O$25-$K$25)</f>
        <v>0</v>
      </c>
      <c r="S28" s="8">
        <v>0.624</v>
      </c>
    </row>
    <row r="29" spans="2:19">
      <c r="B29" s="1" t="s">
        <v>1</v>
      </c>
      <c r="F29" s="7">
        <f>F12/F8</f>
        <v>6.1196611271093229E-2</v>
      </c>
      <c r="G29" s="7">
        <f t="shared" ref="G29:J29" si="23">G12/G8</f>
        <v>5.7263519860483621E-2</v>
      </c>
      <c r="H29" s="7">
        <f t="shared" si="23"/>
        <v>5.6129964113941958E-2</v>
      </c>
      <c r="I29" s="7">
        <f t="shared" si="23"/>
        <v>5.5561591265788718E-2</v>
      </c>
      <c r="J29" s="17">
        <f t="shared" si="23"/>
        <v>5.841392650388412E-2</v>
      </c>
      <c r="K29" s="8">
        <v>7.0000000000000007E-2</v>
      </c>
      <c r="L29" s="7">
        <f t="shared" si="21"/>
        <v>6.8750000000000006E-2</v>
      </c>
      <c r="M29" s="7">
        <f t="shared" si="21"/>
        <v>6.7500000000000004E-2</v>
      </c>
      <c r="N29" s="7">
        <f t="shared" si="21"/>
        <v>6.6250000000000003E-2</v>
      </c>
      <c r="O29" s="7">
        <f t="shared" si="21"/>
        <v>6.5000000000000002E-2</v>
      </c>
      <c r="Q29" s="7" t="s">
        <v>4</v>
      </c>
      <c r="R29" s="116">
        <f t="shared" si="22"/>
        <v>-1.2500000000000011E-3</v>
      </c>
      <c r="S29" s="8">
        <v>6.5000000000000002E-2</v>
      </c>
    </row>
    <row r="30" spans="2:19">
      <c r="B30" s="1" t="s">
        <v>0</v>
      </c>
      <c r="F30" s="7">
        <f>F13/F8</f>
        <v>4.0625197655254346E-2</v>
      </c>
      <c r="G30" s="7">
        <f t="shared" ref="G30:J30" si="24">G13/G8</f>
        <v>3.6678115958741084E-2</v>
      </c>
      <c r="H30" s="7">
        <f t="shared" si="24"/>
        <v>3.7208928332117273E-2</v>
      </c>
      <c r="I30" s="7">
        <f t="shared" si="24"/>
        <v>3.9803930417361001E-2</v>
      </c>
      <c r="J30" s="17">
        <f t="shared" si="24"/>
        <v>4.1005273220889663E-2</v>
      </c>
      <c r="K30" s="8">
        <v>0.04</v>
      </c>
      <c r="L30" s="7">
        <f t="shared" si="21"/>
        <v>0.04</v>
      </c>
      <c r="M30" s="7">
        <f t="shared" si="21"/>
        <v>0.04</v>
      </c>
      <c r="N30" s="7">
        <f t="shared" si="21"/>
        <v>0.04</v>
      </c>
      <c r="O30" s="7">
        <f t="shared" si="21"/>
        <v>0.04</v>
      </c>
      <c r="Q30" s="7" t="s">
        <v>4</v>
      </c>
      <c r="R30" s="116">
        <f t="shared" si="22"/>
        <v>0</v>
      </c>
      <c r="S30" s="8">
        <v>0.04</v>
      </c>
    </row>
    <row r="31" spans="2:19">
      <c r="B31" s="1" t="s">
        <v>37</v>
      </c>
      <c r="F31" s="7">
        <f>-F19/F8</f>
        <v>5.2721880972823723E-2</v>
      </c>
      <c r="G31" s="7">
        <f t="shared" ref="G31:J31" si="25">-G19/G8</f>
        <v>6.3449635855503103E-2</v>
      </c>
      <c r="H31" s="7">
        <f t="shared" si="25"/>
        <v>7.2043718450794408E-2</v>
      </c>
      <c r="I31" s="7">
        <f t="shared" si="25"/>
        <v>5.7965661080198988E-2</v>
      </c>
      <c r="J31" s="17">
        <f t="shared" si="25"/>
        <v>4.6884958325414144E-2</v>
      </c>
      <c r="K31" s="8">
        <v>5.5E-2</v>
      </c>
      <c r="L31" s="7">
        <f t="shared" si="21"/>
        <v>5.5E-2</v>
      </c>
      <c r="M31" s="7">
        <f t="shared" si="21"/>
        <v>5.5E-2</v>
      </c>
      <c r="N31" s="7">
        <f t="shared" si="21"/>
        <v>5.5E-2</v>
      </c>
      <c r="O31" s="7">
        <f t="shared" si="21"/>
        <v>5.5E-2</v>
      </c>
      <c r="Q31" s="7" t="s">
        <v>4</v>
      </c>
      <c r="R31" s="116">
        <f t="shared" si="22"/>
        <v>0</v>
      </c>
      <c r="S31" s="8">
        <v>5.5E-2</v>
      </c>
    </row>
    <row r="32" spans="2:19">
      <c r="B32" s="1" t="s">
        <v>36</v>
      </c>
      <c r="F32" s="7">
        <f>-F18/F19</f>
        <v>1.0669755512348489</v>
      </c>
      <c r="G32" s="7">
        <f t="shared" ref="G32:J32" si="26">-G18/G19</f>
        <v>0.82292581323640535</v>
      </c>
      <c r="H32" s="7">
        <f t="shared" si="26"/>
        <v>0.73239029068421579</v>
      </c>
      <c r="I32" s="7">
        <f t="shared" si="26"/>
        <v>0.95703616843359829</v>
      </c>
      <c r="J32" s="17">
        <f t="shared" si="26"/>
        <v>1.1885102918944064</v>
      </c>
      <c r="K32" s="8">
        <v>1.1000000000000001</v>
      </c>
      <c r="L32" s="7">
        <f t="shared" si="21"/>
        <v>1.0750000000000002</v>
      </c>
      <c r="M32" s="7">
        <f t="shared" si="21"/>
        <v>1.0500000000000003</v>
      </c>
      <c r="N32" s="7">
        <f t="shared" si="21"/>
        <v>1.0250000000000004</v>
      </c>
      <c r="O32" s="7">
        <f t="shared" si="21"/>
        <v>1.0000000000000004</v>
      </c>
      <c r="Q32" s="7" t="s">
        <v>4</v>
      </c>
      <c r="R32" s="116">
        <f t="shared" si="22"/>
        <v>-2.5000000000000022E-2</v>
      </c>
      <c r="S32" s="8">
        <v>1</v>
      </c>
    </row>
    <row r="33" spans="1:19">
      <c r="B33" s="1" t="s">
        <v>35</v>
      </c>
      <c r="F33" s="7">
        <f>F10/F8</f>
        <v>0.3917772506163209</v>
      </c>
      <c r="G33" s="7">
        <f t="shared" ref="G33:J33" si="27">G10/G8</f>
        <v>0.39114340465063246</v>
      </c>
      <c r="H33" s="7">
        <f t="shared" si="27"/>
        <v>0.39814285927006865</v>
      </c>
      <c r="I33" s="7">
        <f t="shared" si="27"/>
        <v>0.38695161161820363</v>
      </c>
      <c r="J33" s="17">
        <f t="shared" si="27"/>
        <v>0.37646821815916459</v>
      </c>
      <c r="K33" s="7">
        <f>K10/K8</f>
        <v>0.376</v>
      </c>
      <c r="L33" s="7">
        <f t="shared" ref="L33:O33" si="28">L10/L8</f>
        <v>0.37599999999999995</v>
      </c>
      <c r="M33" s="7">
        <f t="shared" si="28"/>
        <v>0.376</v>
      </c>
      <c r="N33" s="7">
        <f t="shared" si="28"/>
        <v>0.376</v>
      </c>
      <c r="O33" s="7">
        <f t="shared" si="28"/>
        <v>0.37600000000000006</v>
      </c>
    </row>
    <row r="34" spans="1:19">
      <c r="F34" s="2"/>
      <c r="G34" s="2"/>
      <c r="H34" s="2"/>
      <c r="I34" s="2"/>
      <c r="J34" s="39"/>
      <c r="K34" s="38"/>
      <c r="L34" s="2"/>
      <c r="M34" s="2"/>
      <c r="N34" s="2"/>
      <c r="O34" s="2"/>
    </row>
    <row r="35" spans="1:19">
      <c r="A35" s="1" t="s">
        <v>185</v>
      </c>
      <c r="B35" s="6" t="s">
        <v>34</v>
      </c>
      <c r="C35" s="5"/>
      <c r="D35" s="6"/>
      <c r="E35" s="6"/>
      <c r="F35" s="5"/>
      <c r="G35" s="5"/>
      <c r="H35" s="5"/>
      <c r="I35" s="5"/>
      <c r="J35" s="5"/>
      <c r="K35" s="5"/>
      <c r="L35" s="5"/>
      <c r="M35" s="5"/>
      <c r="N35" s="5"/>
      <c r="O35" s="5"/>
    </row>
    <row r="37" spans="1:19">
      <c r="F37" s="16" t="s">
        <v>6</v>
      </c>
      <c r="G37" s="15"/>
      <c r="H37" s="15"/>
      <c r="I37" s="14"/>
      <c r="K37" s="16" t="s">
        <v>33</v>
      </c>
      <c r="L37" s="15"/>
      <c r="M37" s="15"/>
      <c r="N37" s="14"/>
      <c r="P37" s="16" t="s">
        <v>216</v>
      </c>
      <c r="Q37" s="15"/>
      <c r="R37" s="15"/>
      <c r="S37" s="14"/>
    </row>
    <row r="38" spans="1:19">
      <c r="F38" s="13" t="s">
        <v>32</v>
      </c>
      <c r="G38" s="12"/>
      <c r="H38" s="12"/>
      <c r="I38" s="35">
        <f>G113</f>
        <v>6.458794000000001E-2</v>
      </c>
      <c r="K38" s="13"/>
      <c r="L38" s="12"/>
      <c r="M38" s="12"/>
      <c r="N38" s="17"/>
      <c r="P38" s="13"/>
      <c r="Q38" s="12"/>
      <c r="R38" s="12"/>
      <c r="S38" s="136"/>
    </row>
    <row r="39" spans="1:19">
      <c r="F39" s="13" t="s">
        <v>31</v>
      </c>
      <c r="G39" s="12"/>
      <c r="H39" s="12"/>
      <c r="I39" s="34">
        <f>O21</f>
        <v>477.57374343585684</v>
      </c>
      <c r="K39" s="13" t="s">
        <v>30</v>
      </c>
      <c r="L39" s="12"/>
      <c r="M39" s="12"/>
      <c r="N39" s="11">
        <f>O14+O18</f>
        <v>754.048153334581</v>
      </c>
      <c r="P39" s="13" t="s">
        <v>217</v>
      </c>
      <c r="Q39" s="12"/>
      <c r="R39" s="12"/>
      <c r="S39" s="11">
        <f>I48</f>
        <v>8793.1661961511963</v>
      </c>
    </row>
    <row r="40" spans="1:19">
      <c r="F40" s="13" t="s">
        <v>5</v>
      </c>
      <c r="G40" s="12"/>
      <c r="H40" s="12"/>
      <c r="I40" s="37">
        <v>1.4999999999999999E-2</v>
      </c>
      <c r="K40" s="13" t="s">
        <v>29</v>
      </c>
      <c r="L40" s="12"/>
      <c r="M40" s="12"/>
      <c r="N40" s="36">
        <v>5.2</v>
      </c>
      <c r="P40" s="13" t="s">
        <v>218</v>
      </c>
      <c r="Q40" s="12"/>
      <c r="R40" s="12"/>
      <c r="S40" s="11">
        <f>I81</f>
        <v>259.23091299999999</v>
      </c>
    </row>
    <row r="41" spans="1:19">
      <c r="F41" s="13" t="s">
        <v>28</v>
      </c>
      <c r="G41" s="12"/>
      <c r="H41" s="12"/>
      <c r="I41" s="25">
        <f>(I39*(1+I40))/(I38-I40)</f>
        <v>9775.3072538886372</v>
      </c>
      <c r="K41" s="13" t="s">
        <v>28</v>
      </c>
      <c r="L41" s="12"/>
      <c r="M41" s="12"/>
      <c r="N41" s="25">
        <f>N40*N39</f>
        <v>3921.0503973398213</v>
      </c>
      <c r="O41" s="24"/>
      <c r="P41" s="13" t="s">
        <v>219</v>
      </c>
      <c r="Q41" s="12"/>
      <c r="R41" s="12"/>
      <c r="S41" s="137">
        <f ca="1">Option_Value!E30</f>
        <v>126.66519055115104</v>
      </c>
    </row>
    <row r="42" spans="1:19">
      <c r="F42" s="13" t="s">
        <v>27</v>
      </c>
      <c r="G42" s="12"/>
      <c r="H42" s="12"/>
      <c r="I42" s="35">
        <f>F113</f>
        <v>7.9513920385051631E-2</v>
      </c>
      <c r="K42" s="13" t="s">
        <v>27</v>
      </c>
      <c r="L42" s="12"/>
      <c r="M42" s="12"/>
      <c r="N42" s="35">
        <f>F113</f>
        <v>7.9513920385051631E-2</v>
      </c>
      <c r="O42" s="24"/>
      <c r="P42" s="10" t="s">
        <v>20</v>
      </c>
      <c r="Q42" s="9"/>
      <c r="R42" s="9"/>
      <c r="S42" s="138">
        <f ca="1">(S39-S41)/S40</f>
        <v>33.43158771191785</v>
      </c>
    </row>
    <row r="43" spans="1:19">
      <c r="F43" s="13" t="s">
        <v>26</v>
      </c>
      <c r="G43" s="12"/>
      <c r="H43" s="12"/>
      <c r="I43" s="11">
        <f>I41/((1+I42)^(O25-J25))</f>
        <v>6667.9015982943756</v>
      </c>
      <c r="K43" s="13" t="s">
        <v>26</v>
      </c>
      <c r="L43" s="12"/>
      <c r="M43" s="12"/>
      <c r="N43" s="11">
        <f>-PV(N42,O25-J25,,N41)</f>
        <v>2674.6144681042515</v>
      </c>
    </row>
    <row r="44" spans="1:19">
      <c r="F44" s="13"/>
      <c r="G44" s="12"/>
      <c r="H44" s="12"/>
      <c r="I44" s="11"/>
      <c r="K44" s="13"/>
      <c r="L44" s="12"/>
      <c r="M44" s="12"/>
      <c r="N44" s="11"/>
      <c r="P44" s="16" t="s">
        <v>220</v>
      </c>
      <c r="Q44" s="15"/>
      <c r="R44" s="15"/>
      <c r="S44" s="14"/>
    </row>
    <row r="45" spans="1:19">
      <c r="F45" s="13" t="s">
        <v>25</v>
      </c>
      <c r="G45" s="12"/>
      <c r="H45" s="12"/>
      <c r="I45" s="11">
        <f>NPV(I42,K21:O21)</f>
        <v>1738.8263208568221</v>
      </c>
      <c r="K45" s="13" t="s">
        <v>25</v>
      </c>
      <c r="L45" s="12"/>
      <c r="M45" s="12"/>
      <c r="N45" s="11">
        <f>NPV(N42,K21:O21)</f>
        <v>1738.8263208568221</v>
      </c>
      <c r="P45" s="13" t="s">
        <v>22</v>
      </c>
      <c r="Q45" s="12"/>
      <c r="R45" s="12"/>
      <c r="S45" s="11">
        <f>I48</f>
        <v>8793.1661961511963</v>
      </c>
    </row>
    <row r="46" spans="1:19">
      <c r="F46" s="13" t="s">
        <v>24</v>
      </c>
      <c r="G46" s="12"/>
      <c r="H46" s="12"/>
      <c r="I46" s="11">
        <f>I45+I43</f>
        <v>8406.7279191511971</v>
      </c>
      <c r="K46" s="13" t="s">
        <v>24</v>
      </c>
      <c r="L46" s="12"/>
      <c r="M46" s="12"/>
      <c r="N46" s="11">
        <f>N45+N43</f>
        <v>4413.4407889610738</v>
      </c>
      <c r="P46" s="13" t="s">
        <v>21</v>
      </c>
      <c r="Q46" s="12"/>
      <c r="R46" s="12"/>
      <c r="S46" s="11">
        <f>N88</f>
        <v>268.13091299999996</v>
      </c>
    </row>
    <row r="47" spans="1:19">
      <c r="F47" s="13" t="s">
        <v>23</v>
      </c>
      <c r="G47" s="12"/>
      <c r="H47" s="12"/>
      <c r="I47" s="27">
        <f>GNTX_BS!B34+GNTX_BS!B30-GNTX_BS!B8-GNTX_BS!B9</f>
        <v>-386.43827699999997</v>
      </c>
      <c r="K47" s="13" t="s">
        <v>23</v>
      </c>
      <c r="L47" s="12"/>
      <c r="M47" s="12"/>
      <c r="N47" s="27">
        <f>GNTX_BS!B34+GNTX_BS!B30-GNTX_BS!B8-GNTX_BS!B9</f>
        <v>-386.43827699999997</v>
      </c>
      <c r="P47" s="13" t="s">
        <v>224</v>
      </c>
      <c r="Q47" s="12"/>
      <c r="R47" s="12"/>
      <c r="S47" s="25">
        <f>N86</f>
        <v>160.20000000000002</v>
      </c>
    </row>
    <row r="48" spans="1:19">
      <c r="F48" s="13" t="s">
        <v>22</v>
      </c>
      <c r="G48" s="12"/>
      <c r="H48" s="12"/>
      <c r="I48" s="11">
        <f>I46-I47</f>
        <v>8793.1661961511963</v>
      </c>
      <c r="K48" s="13" t="s">
        <v>22</v>
      </c>
      <c r="L48" s="12"/>
      <c r="M48" s="12"/>
      <c r="N48" s="11">
        <f>N46-N47</f>
        <v>4799.879065961074</v>
      </c>
      <c r="P48" s="10" t="s">
        <v>20</v>
      </c>
      <c r="Q48" s="9"/>
      <c r="R48" s="9"/>
      <c r="S48" s="139">
        <f>(S45+S47)/S46</f>
        <v>33.39177156403148</v>
      </c>
    </row>
    <row r="49" spans="1:15">
      <c r="F49" s="13" t="s">
        <v>21</v>
      </c>
      <c r="G49" s="12"/>
      <c r="H49" s="12"/>
      <c r="I49" s="34">
        <f>I88</f>
        <v>261.61203822686025</v>
      </c>
      <c r="K49" s="13" t="s">
        <v>21</v>
      </c>
      <c r="L49" s="12"/>
      <c r="M49" s="12"/>
      <c r="N49" s="34">
        <f>I88</f>
        <v>261.61203822686025</v>
      </c>
    </row>
    <row r="50" spans="1:15">
      <c r="F50" s="10" t="s">
        <v>20</v>
      </c>
      <c r="G50" s="9"/>
      <c r="H50" s="9"/>
      <c r="I50" s="33">
        <f>I48/I49</f>
        <v>33.611473905211078</v>
      </c>
      <c r="K50" s="10" t="s">
        <v>20</v>
      </c>
      <c r="L50" s="9"/>
      <c r="M50" s="9"/>
      <c r="N50" s="33">
        <f>N48/N49</f>
        <v>18.347317266030384</v>
      </c>
    </row>
    <row r="52" spans="1:15">
      <c r="E52" s="32"/>
    </row>
    <row r="53" spans="1:15">
      <c r="G53" s="31"/>
    </row>
    <row r="54" spans="1:15">
      <c r="A54" s="1" t="s">
        <v>185</v>
      </c>
      <c r="B54" s="6" t="s">
        <v>19</v>
      </c>
      <c r="C54" s="5"/>
      <c r="D54" s="6"/>
      <c r="E54" s="6"/>
      <c r="F54" s="5"/>
      <c r="G54" s="5"/>
      <c r="H54" s="5"/>
      <c r="I54" s="5"/>
      <c r="J54" s="5"/>
      <c r="K54" s="5"/>
      <c r="L54" s="5"/>
      <c r="M54" s="5"/>
      <c r="N54" s="5"/>
      <c r="O54" s="5"/>
    </row>
    <row r="57" spans="1:15">
      <c r="F57" s="23" t="s">
        <v>9</v>
      </c>
      <c r="G57" s="22"/>
      <c r="H57" s="22"/>
      <c r="I57" s="22"/>
      <c r="J57" s="21"/>
      <c r="K57" s="23" t="s">
        <v>8</v>
      </c>
      <c r="L57" s="22"/>
      <c r="M57" s="22"/>
      <c r="N57" s="22"/>
      <c r="O57" s="21"/>
    </row>
    <row r="58" spans="1:15">
      <c r="F58" s="20">
        <f>F7</f>
        <v>2014</v>
      </c>
      <c r="G58" s="18">
        <f t="shared" ref="G58:O58" si="29">F58+1</f>
        <v>2015</v>
      </c>
      <c r="H58" s="18">
        <f t="shared" si="29"/>
        <v>2016</v>
      </c>
      <c r="I58" s="18">
        <f t="shared" si="29"/>
        <v>2017</v>
      </c>
      <c r="J58" s="19">
        <f t="shared" si="29"/>
        <v>2018</v>
      </c>
      <c r="K58" s="18">
        <f t="shared" si="29"/>
        <v>2019</v>
      </c>
      <c r="L58" s="18">
        <f t="shared" si="29"/>
        <v>2020</v>
      </c>
      <c r="M58" s="18">
        <f t="shared" si="29"/>
        <v>2021</v>
      </c>
      <c r="N58" s="18">
        <f t="shared" si="29"/>
        <v>2022</v>
      </c>
      <c r="O58" s="18">
        <f t="shared" si="29"/>
        <v>2023</v>
      </c>
    </row>
    <row r="59" spans="1:15">
      <c r="B59" s="1" t="s">
        <v>18</v>
      </c>
      <c r="F59" s="30">
        <f>VLOOKUP($B59,GNTX_BS!$A$7:$H$47,MATCH(GNTX_DCF!F$58,GNTX_BS!$A$7:$H$7,0),0)</f>
        <v>856.63800000000003</v>
      </c>
      <c r="G59" s="30">
        <f>VLOOKUP($B59,GNTX_BS!$A$7:$H$47,MATCH(GNTX_DCF!G$58,GNTX_BS!$A$7:$H$7,0),0)</f>
        <v>984.00900000000001</v>
      </c>
      <c r="H59" s="30">
        <f>VLOOKUP($B59,GNTX_BS!$A$7:$H$47,MATCH(GNTX_DCF!H$58,GNTX_BS!$A$7:$H$7,0),0)</f>
        <v>1154.989</v>
      </c>
      <c r="I59" s="30">
        <f>VLOOKUP($B59,GNTX_BS!$A$7:$H$47,MATCH(GNTX_DCF!I$58,GNTX_BS!$A$7:$H$7,0),0)</f>
        <v>1184.5640000000001</v>
      </c>
      <c r="J59" s="29">
        <f>VLOOKUP($B59,GNTX_BS!$A$7:$H$47,MATCH(GNTX_DCF!J$58,GNTX_BS!$A$7:$H$7,0),0)</f>
        <v>850.93025399999999</v>
      </c>
    </row>
    <row r="60" spans="1:15">
      <c r="B60" s="1" t="s">
        <v>17</v>
      </c>
      <c r="F60" s="28">
        <f>VLOOKUP($B60,GNTX_BS!$A$7:$H$47,MATCH(GNTX_DCF!F$58,GNTX_BS!$A$7:$H$7,0),0)</f>
        <v>497.43</v>
      </c>
      <c r="G60" s="28">
        <f>VLOOKUP($B60,GNTX_BS!$A$7:$H$47,MATCH(GNTX_DCF!G$58,GNTX_BS!$A$7:$H$7,0),0)</f>
        <v>551.55799999999999</v>
      </c>
      <c r="H60" s="28">
        <f>VLOOKUP($B60,GNTX_BS!$A$7:$H$47,MATCH(GNTX_DCF!H$58,GNTX_BS!$A$7:$H$7,0),0)</f>
        <v>546.47699999999998</v>
      </c>
      <c r="I60" s="28">
        <f>VLOOKUP($B60,GNTX_BS!$A$7:$H$47,MATCH(GNTX_DCF!I$58,GNTX_BS!$A$7:$H$7,0),0)</f>
        <v>569.73400000000004</v>
      </c>
      <c r="J60" s="27">
        <f>VLOOKUP($B60,GNTX_BS!$A$7:$H$47,MATCH(GNTX_DCF!J$58,GNTX_BS!$A$7:$H$7,0),0)</f>
        <v>217.02527799999999</v>
      </c>
    </row>
    <row r="61" spans="1:15">
      <c r="B61" s="1" t="s">
        <v>16</v>
      </c>
      <c r="F61" s="28">
        <f>VLOOKUP($B61,GNTX_BS!$A$7:$H$47,MATCH(GNTX_DCF!F$58,GNTX_BS!$A$7:$H$7,0),0)</f>
        <v>0</v>
      </c>
      <c r="G61" s="28">
        <f>VLOOKUP($B61,GNTX_BS!$A$7:$H$47,MATCH(GNTX_DCF!G$58,GNTX_BS!$A$7:$H$7,0),0)</f>
        <v>4.5469999999999997</v>
      </c>
      <c r="H61" s="28">
        <f>VLOOKUP($B61,GNTX_BS!$A$7:$H$47,MATCH(GNTX_DCF!H$58,GNTX_BS!$A$7:$H$7,0),0)</f>
        <v>177.02099999999999</v>
      </c>
      <c r="I61" s="28">
        <f>VLOOKUP($B61,GNTX_BS!$A$7:$H$47,MATCH(GNTX_DCF!I$58,GNTX_BS!$A$7:$H$7,0),0)</f>
        <v>152.53800000000001</v>
      </c>
      <c r="J61" s="27">
        <f>VLOOKUP($B61,GNTX_BS!$A$7:$H$47,MATCH(GNTX_DCF!J$58,GNTX_BS!$A$7:$H$7,0),0)</f>
        <v>169.41299900000001</v>
      </c>
    </row>
    <row r="62" spans="1:15">
      <c r="B62" s="1" t="s">
        <v>15</v>
      </c>
      <c r="F62" s="2">
        <f>F59-F60-F61</f>
        <v>359.20800000000003</v>
      </c>
      <c r="G62" s="2">
        <f t="shared" ref="G62:J62" si="30">G59-G60-G61</f>
        <v>427.904</v>
      </c>
      <c r="H62" s="2">
        <f t="shared" si="30"/>
        <v>431.4910000000001</v>
      </c>
      <c r="I62" s="2">
        <f t="shared" si="30"/>
        <v>462.29200000000003</v>
      </c>
      <c r="J62" s="11">
        <f t="shared" si="30"/>
        <v>464.49197700000002</v>
      </c>
    </row>
    <row r="63" spans="1:15">
      <c r="F63" s="2"/>
      <c r="G63" s="2"/>
      <c r="H63" s="2"/>
      <c r="I63" s="2"/>
      <c r="J63" s="11"/>
    </row>
    <row r="64" spans="1:15">
      <c r="B64" s="1" t="s">
        <v>14</v>
      </c>
      <c r="F64" s="28">
        <f>VLOOKUP($B64,GNTX_BS!$A$7:$H$47,MATCH(GNTX_DCF!F$58,GNTX_BS!$A$7:$H$7,0),0)</f>
        <v>133.43100000000001</v>
      </c>
      <c r="G64" s="28">
        <f>VLOOKUP($B64,GNTX_BS!$A$7:$H$47,MATCH(GNTX_DCF!G$58,GNTX_BS!$A$7:$H$7,0),0)</f>
        <v>131.00700000000001</v>
      </c>
      <c r="H64" s="28">
        <f>VLOOKUP($B64,GNTX_BS!$A$7:$H$47,MATCH(GNTX_DCF!H$58,GNTX_BS!$A$7:$H$7,0),0)</f>
        <v>149.858</v>
      </c>
      <c r="I64" s="28">
        <f>VLOOKUP($B64,GNTX_BS!$A$7:$H$47,MATCH(GNTX_DCF!I$58,GNTX_BS!$A$7:$H$7,0),0)</f>
        <v>243.64699999999999</v>
      </c>
      <c r="J64" s="27">
        <f>VLOOKUP($B64,GNTX_BS!$A$7:$H$47,MATCH(GNTX_DCF!J$58,GNTX_BS!$A$7:$H$7,0),0)</f>
        <v>169.16091900000001</v>
      </c>
    </row>
    <row r="65" spans="1:15">
      <c r="B65" s="1" t="s">
        <v>13</v>
      </c>
      <c r="F65" s="28">
        <f>VLOOKUP($B65,GNTX_BS!$A$7:$H$47,MATCH(GNTX_DCF!F$58,GNTX_BS!$A$7:$H$7,0),0)</f>
        <v>7.5</v>
      </c>
      <c r="G65" s="28">
        <f>VLOOKUP($B65,GNTX_BS!$A$7:$H$47,MATCH(GNTX_DCF!G$58,GNTX_BS!$A$7:$H$7,0),0)</f>
        <v>7.5</v>
      </c>
      <c r="H65" s="28">
        <f>VLOOKUP($B65,GNTX_BS!$A$7:$H$47,MATCH(GNTX_DCF!H$58,GNTX_BS!$A$7:$H$7,0),0)</f>
        <v>7.5</v>
      </c>
      <c r="I65" s="28">
        <f>VLOOKUP($B65,GNTX_BS!$A$7:$H$47,MATCH(GNTX_DCF!I$58,GNTX_BS!$A$7:$H$7,0),0)</f>
        <v>78</v>
      </c>
      <c r="J65" s="27">
        <f>VLOOKUP($B65,GNTX_BS!$A$7:$H$47,MATCH(GNTX_DCF!J$58,GNTX_BS!$A$7:$H$7,0),0)</f>
        <v>0</v>
      </c>
    </row>
    <row r="66" spans="1:15">
      <c r="B66" s="1" t="s">
        <v>12</v>
      </c>
      <c r="F66" s="2">
        <f>F64-F65</f>
        <v>125.93100000000001</v>
      </c>
      <c r="G66" s="2">
        <f t="shared" ref="G66:J66" si="31">G64-G65</f>
        <v>123.50700000000001</v>
      </c>
      <c r="H66" s="2">
        <f t="shared" si="31"/>
        <v>142.358</v>
      </c>
      <c r="I66" s="2">
        <f t="shared" si="31"/>
        <v>165.64699999999999</v>
      </c>
      <c r="J66" s="11">
        <f t="shared" si="31"/>
        <v>169.16091900000001</v>
      </c>
    </row>
    <row r="67" spans="1:15">
      <c r="F67" s="2"/>
      <c r="G67" s="2"/>
      <c r="H67" s="2"/>
      <c r="I67" s="2"/>
      <c r="J67" s="11"/>
    </row>
    <row r="68" spans="1:15">
      <c r="B68" s="26" t="s">
        <v>11</v>
      </c>
      <c r="F68" s="2">
        <f>F62-F66</f>
        <v>233.27700000000002</v>
      </c>
      <c r="G68" s="2">
        <f t="shared" ref="G68:J68" si="32">G62-G66</f>
        <v>304.39699999999999</v>
      </c>
      <c r="H68" s="2">
        <f t="shared" si="32"/>
        <v>289.1330000000001</v>
      </c>
      <c r="I68" s="2">
        <f t="shared" si="32"/>
        <v>296.64500000000004</v>
      </c>
      <c r="J68" s="11">
        <f t="shared" si="32"/>
        <v>295.33105799999998</v>
      </c>
      <c r="K68" s="2">
        <f>K74*K8</f>
        <v>306.6554501384</v>
      </c>
      <c r="L68" s="2">
        <f t="shared" ref="L68:O68" si="33">L74*L8</f>
        <v>320.83826470730094</v>
      </c>
      <c r="M68" s="2">
        <f t="shared" si="33"/>
        <v>336.07808228089783</v>
      </c>
      <c r="N68" s="2">
        <f t="shared" si="33"/>
        <v>352.46188879209154</v>
      </c>
      <c r="O68" s="2">
        <f t="shared" si="33"/>
        <v>370.08498323169619</v>
      </c>
    </row>
    <row r="69" spans="1:15">
      <c r="B69" s="26" t="s">
        <v>10</v>
      </c>
      <c r="G69" s="24">
        <f>G68-F68</f>
        <v>71.119999999999976</v>
      </c>
      <c r="H69" s="24">
        <f>H68-G68</f>
        <v>-15.263999999999896</v>
      </c>
      <c r="I69" s="24">
        <f t="shared" ref="I69:O69" si="34">I68-H68</f>
        <v>7.5119999999999436</v>
      </c>
      <c r="J69" s="25">
        <f t="shared" si="34"/>
        <v>-1.3139420000000541</v>
      </c>
      <c r="K69" s="24">
        <f t="shared" si="34"/>
        <v>11.324392138400015</v>
      </c>
      <c r="L69" s="24">
        <f t="shared" si="34"/>
        <v>14.182814568900938</v>
      </c>
      <c r="M69" s="24">
        <f t="shared" si="34"/>
        <v>15.239817573596895</v>
      </c>
      <c r="N69" s="24">
        <f t="shared" si="34"/>
        <v>16.383806511193711</v>
      </c>
      <c r="O69" s="24">
        <f t="shared" si="34"/>
        <v>17.623094439604643</v>
      </c>
    </row>
    <row r="72" spans="1:15">
      <c r="F72" s="23" t="s">
        <v>9</v>
      </c>
      <c r="G72" s="22"/>
      <c r="H72" s="22"/>
      <c r="I72" s="22"/>
      <c r="J72" s="21"/>
      <c r="K72" s="23" t="s">
        <v>8</v>
      </c>
      <c r="L72" s="22"/>
      <c r="M72" s="22"/>
      <c r="N72" s="22"/>
      <c r="O72" s="21"/>
    </row>
    <row r="73" spans="1:15">
      <c r="F73" s="20">
        <f>F58</f>
        <v>2014</v>
      </c>
      <c r="G73" s="18">
        <f t="shared" ref="G73:O73" si="35">F73+1</f>
        <v>2015</v>
      </c>
      <c r="H73" s="18">
        <f t="shared" si="35"/>
        <v>2016</v>
      </c>
      <c r="I73" s="18">
        <f t="shared" si="35"/>
        <v>2017</v>
      </c>
      <c r="J73" s="19">
        <f t="shared" si="35"/>
        <v>2018</v>
      </c>
      <c r="K73" s="18">
        <f t="shared" si="35"/>
        <v>2019</v>
      </c>
      <c r="L73" s="18">
        <f t="shared" si="35"/>
        <v>2020</v>
      </c>
      <c r="M73" s="18">
        <f t="shared" si="35"/>
        <v>2021</v>
      </c>
      <c r="N73" s="18">
        <f t="shared" si="35"/>
        <v>2022</v>
      </c>
      <c r="O73" s="18">
        <f t="shared" si="35"/>
        <v>2023</v>
      </c>
    </row>
    <row r="74" spans="1:15">
      <c r="B74" s="1" t="s">
        <v>7</v>
      </c>
      <c r="F74" s="7">
        <f>F68/F8</f>
        <v>0.16959420603838166</v>
      </c>
      <c r="G74" s="7">
        <f t="shared" ref="G74:J74" si="36">G68/G8</f>
        <v>0.19719710446496477</v>
      </c>
      <c r="H74" s="7">
        <f t="shared" si="36"/>
        <v>0.17221317211906434</v>
      </c>
      <c r="I74" s="7">
        <f t="shared" si="36"/>
        <v>0.16527353188777147</v>
      </c>
      <c r="J74" s="17">
        <f t="shared" si="36"/>
        <v>0.16102551862461295</v>
      </c>
      <c r="K74" s="8">
        <v>0.16</v>
      </c>
      <c r="L74" s="7">
        <f>K74</f>
        <v>0.16</v>
      </c>
      <c r="M74" s="7">
        <f t="shared" ref="M74:O74" si="37">L74</f>
        <v>0.16</v>
      </c>
      <c r="N74" s="7">
        <f t="shared" si="37"/>
        <v>0.16</v>
      </c>
      <c r="O74" s="7">
        <f t="shared" si="37"/>
        <v>0.16</v>
      </c>
    </row>
    <row r="77" spans="1:15">
      <c r="A77" s="1" t="s">
        <v>185</v>
      </c>
      <c r="B77" s="82" t="s">
        <v>132</v>
      </c>
      <c r="C77" s="83"/>
      <c r="D77" s="82"/>
      <c r="E77" s="82"/>
      <c r="F77" s="83"/>
      <c r="G77" s="83"/>
      <c r="H77" s="83"/>
      <c r="I77" s="83"/>
      <c r="J77" s="83"/>
      <c r="K77" s="83"/>
      <c r="L77" s="83"/>
      <c r="M77" s="83"/>
      <c r="N77" s="83"/>
      <c r="O77" s="83"/>
    </row>
    <row r="78" spans="1:15" hidden="1" outlineLevel="1"/>
    <row r="79" spans="1:15" hidden="1" outlineLevel="1"/>
    <row r="80" spans="1:15" hidden="1" outlineLevel="1">
      <c r="B80" s="81"/>
      <c r="C80" s="81"/>
      <c r="D80" s="81"/>
      <c r="E80" s="81"/>
      <c r="F80" s="86" t="s">
        <v>221</v>
      </c>
      <c r="G80" s="85"/>
      <c r="H80" s="85"/>
      <c r="I80" s="87"/>
      <c r="J80" s="81"/>
      <c r="K80" s="86" t="s">
        <v>222</v>
      </c>
      <c r="L80" s="85"/>
      <c r="M80" s="85"/>
      <c r="N80" s="87"/>
      <c r="O80" s="81"/>
    </row>
    <row r="81" spans="1:15" hidden="1" outlineLevel="1">
      <c r="F81" s="88" t="s">
        <v>133</v>
      </c>
      <c r="G81" s="84"/>
      <c r="H81" s="84"/>
      <c r="I81" s="90">
        <v>259.23091299999999</v>
      </c>
      <c r="K81" s="88" t="s">
        <v>133</v>
      </c>
      <c r="L81" s="84"/>
      <c r="M81" s="84"/>
      <c r="N81" s="90">
        <v>259.23091299999999</v>
      </c>
    </row>
    <row r="82" spans="1:15" hidden="1" outlineLevel="1">
      <c r="F82" s="88" t="s">
        <v>134</v>
      </c>
      <c r="G82" s="84"/>
      <c r="H82" s="84"/>
      <c r="I82" s="90">
        <v>4.0999999999999996</v>
      </c>
      <c r="K82" s="88" t="s">
        <v>223</v>
      </c>
      <c r="L82" s="84"/>
      <c r="M82" s="84"/>
      <c r="N82" s="90">
        <v>8.9</v>
      </c>
    </row>
    <row r="83" spans="1:15" hidden="1" outlineLevel="1">
      <c r="F83" s="88" t="s">
        <v>135</v>
      </c>
      <c r="G83" s="84"/>
      <c r="H83" s="84"/>
      <c r="I83" s="95">
        <v>16</v>
      </c>
      <c r="K83" s="88" t="s">
        <v>135</v>
      </c>
      <c r="L83" s="84"/>
      <c r="M83" s="84"/>
      <c r="N83" s="95">
        <v>18</v>
      </c>
    </row>
    <row r="84" spans="1:15" hidden="1" outlineLevel="1">
      <c r="F84" s="88" t="s">
        <v>136</v>
      </c>
      <c r="G84" s="84"/>
      <c r="H84" s="84"/>
      <c r="I84" s="95">
        <v>27.55</v>
      </c>
      <c r="K84" s="88"/>
      <c r="L84" s="84"/>
      <c r="M84" s="84"/>
      <c r="N84" s="95"/>
    </row>
    <row r="85" spans="1:15" hidden="1" outlineLevel="1">
      <c r="F85" s="88" t="s">
        <v>137</v>
      </c>
      <c r="G85" s="84"/>
      <c r="H85" s="84"/>
      <c r="I85" s="89">
        <f>IF(I84&gt;I83,I82,0)</f>
        <v>4.0999999999999996</v>
      </c>
      <c r="K85" s="88"/>
      <c r="L85" s="84"/>
      <c r="M85" s="84"/>
      <c r="N85" s="89"/>
    </row>
    <row r="86" spans="1:15" hidden="1" outlineLevel="1">
      <c r="F86" s="88" t="s">
        <v>138</v>
      </c>
      <c r="G86" s="84"/>
      <c r="H86" s="84"/>
      <c r="I86" s="94">
        <f>I85*I83</f>
        <v>65.599999999999994</v>
      </c>
      <c r="K86" s="88" t="s">
        <v>138</v>
      </c>
      <c r="L86" s="84"/>
      <c r="M86" s="84"/>
      <c r="N86" s="94">
        <f>N82*N83</f>
        <v>160.20000000000002</v>
      </c>
    </row>
    <row r="87" spans="1:15" hidden="1" outlineLevel="1">
      <c r="F87" s="88" t="s">
        <v>139</v>
      </c>
      <c r="G87" s="84"/>
      <c r="H87" s="84"/>
      <c r="I87" s="89">
        <f>I86/I84</f>
        <v>2.3811252268602536</v>
      </c>
      <c r="K87" s="88"/>
      <c r="L87" s="84"/>
      <c r="M87" s="84"/>
      <c r="N87" s="89"/>
    </row>
    <row r="88" spans="1:15" hidden="1" outlineLevel="1">
      <c r="F88" s="88" t="s">
        <v>140</v>
      </c>
      <c r="G88" s="84"/>
      <c r="H88" s="84"/>
      <c r="I88" s="89">
        <f>I81+I87</f>
        <v>261.61203822686025</v>
      </c>
      <c r="K88" s="88" t="s">
        <v>140</v>
      </c>
      <c r="L88" s="84"/>
      <c r="M88" s="84"/>
      <c r="N88" s="89">
        <f>N81+N82</f>
        <v>268.13091299999996</v>
      </c>
    </row>
    <row r="89" spans="1:15" hidden="1" outlineLevel="1">
      <c r="F89" s="91"/>
      <c r="G89" s="92"/>
      <c r="H89" s="92"/>
      <c r="I89" s="93"/>
      <c r="K89" s="91"/>
      <c r="L89" s="92"/>
      <c r="M89" s="92"/>
      <c r="N89" s="93"/>
    </row>
    <row r="90" spans="1:15" hidden="1" outlineLevel="1"/>
    <row r="91" spans="1:15" collapsed="1">
      <c r="A91" s="1" t="s">
        <v>185</v>
      </c>
      <c r="B91" s="6" t="s">
        <v>141</v>
      </c>
      <c r="C91" s="5"/>
      <c r="D91" s="6"/>
      <c r="E91" s="6"/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1:15">
      <c r="B92" s="96"/>
      <c r="C92" s="97"/>
      <c r="D92" s="96"/>
      <c r="E92" s="96"/>
      <c r="F92" s="97"/>
      <c r="G92" s="97"/>
      <c r="H92" s="97"/>
      <c r="I92" s="97"/>
      <c r="J92" s="97"/>
      <c r="K92" s="97"/>
      <c r="L92" s="97"/>
      <c r="M92" s="97"/>
      <c r="N92" s="97"/>
      <c r="O92" s="97"/>
    </row>
    <row r="93" spans="1:15">
      <c r="F93" s="4" t="s">
        <v>142</v>
      </c>
      <c r="G93" s="4" t="s">
        <v>143</v>
      </c>
    </row>
    <row r="94" spans="1:15">
      <c r="B94" s="98" t="s">
        <v>144</v>
      </c>
    </row>
    <row r="95" spans="1:15">
      <c r="B95" s="99" t="s">
        <v>145</v>
      </c>
      <c r="F95" s="31">
        <f>(GNTX_BS!B34+GNTX_BS!B30)*1000000</f>
        <v>0</v>
      </c>
    </row>
    <row r="96" spans="1:15">
      <c r="B96" s="99" t="s">
        <v>146</v>
      </c>
      <c r="F96" s="2">
        <v>26.33</v>
      </c>
    </row>
    <row r="97" spans="2:10">
      <c r="B97" s="99" t="s">
        <v>187</v>
      </c>
      <c r="F97" s="117">
        <v>254775618</v>
      </c>
    </row>
    <row r="98" spans="2:10">
      <c r="B98" s="99" t="s">
        <v>147</v>
      </c>
      <c r="F98" s="31">
        <f>F97*F96</f>
        <v>6708242021.9399996</v>
      </c>
    </row>
    <row r="99" spans="2:10">
      <c r="B99"/>
    </row>
    <row r="100" spans="2:10">
      <c r="B100" s="99" t="s">
        <v>148</v>
      </c>
      <c r="F100" s="7">
        <f>F95/(F98+F95)</f>
        <v>0</v>
      </c>
      <c r="G100" s="8">
        <v>0.1</v>
      </c>
    </row>
    <row r="101" spans="2:10">
      <c r="B101" s="99" t="s">
        <v>149</v>
      </c>
      <c r="F101" s="7">
        <f>F98/(F98+F95)</f>
        <v>1</v>
      </c>
      <c r="G101" s="8">
        <f>1-G100</f>
        <v>0.9</v>
      </c>
    </row>
    <row r="102" spans="2:10">
      <c r="B102"/>
    </row>
    <row r="103" spans="2:10">
      <c r="B103" s="98" t="s">
        <v>150</v>
      </c>
    </row>
    <row r="104" spans="2:10">
      <c r="B104" s="99" t="s">
        <v>151</v>
      </c>
      <c r="F104" s="8">
        <v>4.0059999999999998E-2</v>
      </c>
      <c r="G104" s="8">
        <v>4.0059999999999998E-2</v>
      </c>
    </row>
    <row r="105" spans="2:10">
      <c r="B105" s="99" t="s">
        <v>152</v>
      </c>
      <c r="F105" s="8">
        <v>0.21</v>
      </c>
      <c r="G105" s="8">
        <v>0.21</v>
      </c>
    </row>
    <row r="106" spans="2:10">
      <c r="B106"/>
      <c r="F106" s="8"/>
      <c r="G106" s="8"/>
      <c r="J106" s="32"/>
    </row>
    <row r="107" spans="2:10">
      <c r="B107" s="98" t="s">
        <v>153</v>
      </c>
      <c r="F107" s="8"/>
      <c r="G107" s="8"/>
    </row>
    <row r="108" spans="2:10">
      <c r="B108" s="99" t="s">
        <v>154</v>
      </c>
      <c r="F108" s="118">
        <v>1.7340000000000001E-2</v>
      </c>
      <c r="G108" s="118">
        <v>1.7340000000000001E-2</v>
      </c>
    </row>
    <row r="109" spans="2:10">
      <c r="B109" s="99" t="s">
        <v>155</v>
      </c>
      <c r="F109" s="8">
        <v>5.1999999999999998E-2</v>
      </c>
      <c r="G109" s="8">
        <v>5.1999999999999998E-2</v>
      </c>
    </row>
    <row r="110" spans="2:10">
      <c r="B110" s="99" t="s">
        <v>156</v>
      </c>
      <c r="F110" s="100">
        <f>C132</f>
        <v>1.1956523150971468</v>
      </c>
      <c r="G110" s="100">
        <f>C129*(1+((G100/G101)*(1-G105)))</f>
        <v>0.97899999999999998</v>
      </c>
    </row>
    <row r="111" spans="2:10">
      <c r="B111" s="98" t="s">
        <v>153</v>
      </c>
      <c r="F111" s="7">
        <f>F110*F109+F108</f>
        <v>7.9513920385051631E-2</v>
      </c>
      <c r="G111" s="7">
        <f>G110*G109+G108</f>
        <v>6.8248000000000003E-2</v>
      </c>
    </row>
    <row r="112" spans="2:10">
      <c r="B112"/>
      <c r="F112" s="7"/>
    </row>
    <row r="113" spans="1:15">
      <c r="B113" s="98" t="s">
        <v>157</v>
      </c>
      <c r="F113" s="7">
        <f>F111*F101+F104*F100*(1-F105)</f>
        <v>7.9513920385051631E-2</v>
      </c>
      <c r="G113" s="7">
        <f>G111*G101+G104*G100*(1-G105)</f>
        <v>6.458794000000001E-2</v>
      </c>
    </row>
    <row r="115" spans="1:15">
      <c r="A115" s="1" t="s">
        <v>185</v>
      </c>
      <c r="B115" s="6" t="s">
        <v>158</v>
      </c>
      <c r="C115" s="5"/>
      <c r="D115" s="6"/>
      <c r="E115" s="6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</row>
    <row r="117" spans="1:15"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</row>
    <row r="118" spans="1:15">
      <c r="B118" s="99"/>
      <c r="C118" s="99"/>
      <c r="D118" s="99"/>
      <c r="E118" s="101" t="s">
        <v>159</v>
      </c>
      <c r="F118" s="101" t="s">
        <v>160</v>
      </c>
      <c r="G118" s="102" t="s">
        <v>161</v>
      </c>
      <c r="H118" s="102" t="s">
        <v>162</v>
      </c>
      <c r="I118" s="102" t="s">
        <v>163</v>
      </c>
      <c r="J118" s="99"/>
      <c r="K118" s="102" t="s">
        <v>164</v>
      </c>
    </row>
    <row r="119" spans="1:15" ht="14.5" thickBot="1">
      <c r="B119" s="103" t="s">
        <v>165</v>
      </c>
      <c r="C119" s="104"/>
      <c r="D119" s="105"/>
      <c r="E119" s="105" t="s">
        <v>166</v>
      </c>
      <c r="F119" s="105" t="s">
        <v>167</v>
      </c>
      <c r="G119" s="105" t="s">
        <v>166</v>
      </c>
      <c r="H119" s="105" t="s">
        <v>156</v>
      </c>
      <c r="I119" s="105" t="s">
        <v>156</v>
      </c>
      <c r="J119" s="99"/>
      <c r="K119" s="105" t="s">
        <v>168</v>
      </c>
    </row>
    <row r="120" spans="1:15">
      <c r="B120" s="99"/>
      <c r="C120" s="99"/>
      <c r="D120" s="99"/>
      <c r="E120" s="99"/>
      <c r="F120" s="99"/>
      <c r="G120" s="99"/>
      <c r="H120" s="99"/>
      <c r="I120" s="99"/>
      <c r="J120" s="99"/>
      <c r="K120" s="99"/>
    </row>
    <row r="121" spans="1:15">
      <c r="B121" s="99" t="s">
        <v>169</v>
      </c>
      <c r="C121" s="99"/>
      <c r="D121" s="99" t="s">
        <v>170</v>
      </c>
      <c r="E121" s="106">
        <v>2100</v>
      </c>
      <c r="F121" s="113">
        <v>348</v>
      </c>
      <c r="G121" s="115">
        <f>F121/E121</f>
        <v>0.1657142857142857</v>
      </c>
      <c r="H121" s="108">
        <v>1.98</v>
      </c>
      <c r="I121" s="109">
        <f>H121/((1+(G121*(1-K121))))</f>
        <v>1.7507958162801271</v>
      </c>
      <c r="J121" s="99"/>
      <c r="K121" s="110">
        <v>0.21</v>
      </c>
    </row>
    <row r="122" spans="1:15">
      <c r="B122" s="99" t="s">
        <v>171</v>
      </c>
      <c r="C122" s="99"/>
      <c r="D122" s="99" t="s">
        <v>172</v>
      </c>
      <c r="E122" s="106">
        <v>1267</v>
      </c>
      <c r="F122" s="113">
        <f>3.4+136.5</f>
        <v>139.9</v>
      </c>
      <c r="G122" s="115">
        <f t="shared" ref="G122:G126" si="38">F122/E122</f>
        <v>0.11041831097079716</v>
      </c>
      <c r="H122" s="108">
        <v>0.98</v>
      </c>
      <c r="I122" s="109">
        <f t="shared" ref="I122:I126" si="39">H122/((1+(G122*(1-K122))))</f>
        <v>0.9013728284360093</v>
      </c>
      <c r="J122" s="99"/>
      <c r="K122" s="111">
        <f>K121</f>
        <v>0.21</v>
      </c>
    </row>
    <row r="123" spans="1:15">
      <c r="B123" s="99" t="s">
        <v>173</v>
      </c>
      <c r="C123" s="99"/>
      <c r="D123" s="99" t="s">
        <v>174</v>
      </c>
      <c r="E123" s="106">
        <v>7922</v>
      </c>
      <c r="F123" s="113">
        <v>1940.7</v>
      </c>
      <c r="G123" s="115">
        <f t="shared" si="38"/>
        <v>0.24497601615753598</v>
      </c>
      <c r="H123" s="108">
        <v>1.67</v>
      </c>
      <c r="I123" s="109">
        <f t="shared" si="39"/>
        <v>1.3992095104119415</v>
      </c>
      <c r="J123" s="99"/>
      <c r="K123" s="111">
        <f t="shared" ref="K123:K126" si="40">K122</f>
        <v>0.21</v>
      </c>
    </row>
    <row r="124" spans="1:15">
      <c r="B124" s="99" t="s">
        <v>175</v>
      </c>
      <c r="C124" s="99"/>
      <c r="D124" s="99" t="s">
        <v>176</v>
      </c>
      <c r="E124" s="106">
        <v>1619</v>
      </c>
      <c r="F124" s="113">
        <f>121+3691</f>
        <v>3812</v>
      </c>
      <c r="G124" s="115">
        <f t="shared" si="38"/>
        <v>2.3545398394070416</v>
      </c>
      <c r="H124" s="108">
        <v>1.8</v>
      </c>
      <c r="I124" s="109">
        <f t="shared" si="39"/>
        <v>0.62935160069798368</v>
      </c>
      <c r="J124" s="99"/>
      <c r="K124" s="111">
        <f t="shared" si="40"/>
        <v>0.21</v>
      </c>
    </row>
    <row r="125" spans="1:15">
      <c r="B125" s="99" t="s">
        <v>177</v>
      </c>
      <c r="C125" s="99"/>
      <c r="D125" s="99" t="s">
        <v>178</v>
      </c>
      <c r="E125" s="106">
        <v>2618</v>
      </c>
      <c r="F125" s="113">
        <f>20+1873</f>
        <v>1893</v>
      </c>
      <c r="G125" s="115">
        <f t="shared" si="38"/>
        <v>0.7230710466004584</v>
      </c>
      <c r="H125" s="108">
        <v>2.0499999999999998</v>
      </c>
      <c r="I125" s="109">
        <f t="shared" si="39"/>
        <v>1.3047135386911779</v>
      </c>
      <c r="J125" s="99"/>
      <c r="K125" s="111">
        <f t="shared" si="40"/>
        <v>0.21</v>
      </c>
    </row>
    <row r="126" spans="1:15">
      <c r="B126" s="99" t="s">
        <v>179</v>
      </c>
      <c r="C126" s="99"/>
      <c r="D126" s="99" t="s">
        <v>180</v>
      </c>
      <c r="E126" s="106">
        <v>8673</v>
      </c>
      <c r="F126" s="113">
        <f>13+1941</f>
        <v>1954</v>
      </c>
      <c r="G126" s="115">
        <f t="shared" si="38"/>
        <v>0.22529689842038511</v>
      </c>
      <c r="H126" s="108">
        <v>1.4</v>
      </c>
      <c r="I126" s="109">
        <f t="shared" si="39"/>
        <v>1.1884705960656416</v>
      </c>
      <c r="J126" s="99"/>
      <c r="K126" s="111">
        <f t="shared" si="40"/>
        <v>0.21</v>
      </c>
    </row>
    <row r="127" spans="1:15">
      <c r="B127" s="99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</row>
    <row r="128" spans="1:15">
      <c r="B128" s="99" t="s">
        <v>181</v>
      </c>
      <c r="C128" s="109">
        <f>AVERAGE(I121:I126)</f>
        <v>1.1956523150971468</v>
      </c>
      <c r="D128" s="99"/>
      <c r="E128" s="99"/>
      <c r="F128" s="99"/>
      <c r="G128" s="99"/>
      <c r="H128" s="99"/>
      <c r="I128" s="109"/>
      <c r="J128" s="99"/>
      <c r="K128" s="109"/>
      <c r="L128" s="99"/>
      <c r="M128" s="99"/>
    </row>
    <row r="129" spans="2:13">
      <c r="B129" s="99" t="s">
        <v>186</v>
      </c>
      <c r="C129" s="108">
        <v>0.9</v>
      </c>
      <c r="D129" s="99"/>
      <c r="E129" s="99"/>
      <c r="F129" s="99"/>
      <c r="G129" s="99"/>
      <c r="H129" s="99"/>
      <c r="I129" s="109"/>
      <c r="J129" s="99"/>
      <c r="K129" s="109"/>
      <c r="L129" s="99"/>
      <c r="M129" s="99"/>
    </row>
    <row r="130" spans="2:13">
      <c r="B130" s="99" t="s">
        <v>182</v>
      </c>
      <c r="C130" s="99">
        <f>F95/F98</f>
        <v>0</v>
      </c>
      <c r="D130" s="99"/>
      <c r="E130" s="99"/>
      <c r="F130" s="99"/>
      <c r="G130" s="99"/>
      <c r="H130" s="99"/>
      <c r="I130" s="114"/>
      <c r="J130" s="99"/>
      <c r="K130" s="107"/>
      <c r="L130" s="99"/>
      <c r="M130" s="99"/>
    </row>
    <row r="131" spans="2:13">
      <c r="B131" s="99" t="s">
        <v>183</v>
      </c>
      <c r="C131" s="107">
        <f>K121</f>
        <v>0.21</v>
      </c>
      <c r="D131" s="99"/>
      <c r="E131" s="99"/>
      <c r="F131" s="99"/>
      <c r="G131" s="99"/>
      <c r="H131" s="99"/>
      <c r="I131" s="111"/>
      <c r="J131" s="99"/>
      <c r="L131" s="99"/>
      <c r="M131" s="99"/>
    </row>
    <row r="132" spans="2:13">
      <c r="B132" s="98" t="s">
        <v>184</v>
      </c>
      <c r="C132" s="99">
        <f>C128*(1+(C130*(1-C131)))</f>
        <v>1.1956523150971468</v>
      </c>
      <c r="D132" s="99"/>
      <c r="E132" s="99"/>
      <c r="F132" s="99"/>
      <c r="G132" s="99"/>
      <c r="H132" s="99"/>
      <c r="I132" s="109"/>
      <c r="J132" s="99"/>
      <c r="K132" s="112"/>
      <c r="L132" s="99"/>
      <c r="M132" s="99"/>
    </row>
  </sheetData>
  <scenarios current="2" sqref="I50 N50">
    <scenario name="Base case" locked="1" count="4" user="Classroom" comment="Created by Classroom on 3/19/2018_x000a_Modified by Classroom on 3/19/2018">
      <inputCells r="K27" val="0.07" numFmtId="165"/>
      <inputCells r="K28" val="0.615" numFmtId="165"/>
      <inputCells r="K29" val="0.057" numFmtId="165"/>
      <inputCells r="K30" val="0.04" numFmtId="165"/>
    </scenario>
    <scenario name="Best case" locked="1" count="4" user="Classroom" comment="Created by Classroom on 3/19/2018">
      <inputCells r="K27" val="0.09" numFmtId="165"/>
      <inputCells r="K28" val="0.61" numFmtId="165"/>
      <inputCells r="K29" val="0.055" numFmtId="165"/>
      <inputCells r="K30" val="0.037" numFmtId="165"/>
    </scenario>
    <scenario name="Worst case" locked="1" count="4" user="Classroom" comment="Created by Classroom on 3/19/2018">
      <inputCells r="K27" val="0.02" numFmtId="165"/>
      <inputCells r="K28" val="0.63" numFmtId="165"/>
      <inputCells r="K29" val="0.06" numFmtId="165"/>
      <inputCells r="K30" val="0.043" numFmtId="165"/>
    </scenario>
  </scenarios>
  <pageMargins left="0.7" right="0.7" top="0.75" bottom="0.75" header="0.3" footer="0.3"/>
  <pageSetup orientation="portrait" verticalDpi="9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277D2-807D-4A68-BDB7-9147B5985CF8}">
  <sheetPr codeName="Sheet5"/>
  <dimension ref="B2:H30"/>
  <sheetViews>
    <sheetView workbookViewId="0">
      <selection activeCell="G11" sqref="G11"/>
    </sheetView>
  </sheetViews>
  <sheetFormatPr defaultColWidth="10.1796875" defaultRowHeight="12.5"/>
  <cols>
    <col min="1" max="1" width="3.1796875" customWidth="1"/>
    <col min="2" max="2" width="13.1796875" customWidth="1"/>
    <col min="3" max="3" width="19.26953125" customWidth="1"/>
  </cols>
  <sheetData>
    <row r="2" spans="2:8" s="120" customFormat="1" ht="18">
      <c r="B2" s="119" t="s">
        <v>188</v>
      </c>
      <c r="C2" s="119"/>
    </row>
    <row r="3" spans="2:8" ht="13">
      <c r="B3" s="121" t="s">
        <v>189</v>
      </c>
      <c r="C3" s="121"/>
      <c r="E3" s="140">
        <f ca="1">GNTX_DCF!S42</f>
        <v>33.43158771191785</v>
      </c>
    </row>
    <row r="4" spans="2:8" ht="13">
      <c r="B4" s="121" t="s">
        <v>190</v>
      </c>
      <c r="C4" s="121"/>
      <c r="E4" s="142">
        <v>18</v>
      </c>
    </row>
    <row r="5" spans="2:8" ht="13">
      <c r="B5" s="121" t="s">
        <v>191</v>
      </c>
      <c r="C5" s="121"/>
      <c r="E5" s="143">
        <v>2.7</v>
      </c>
    </row>
    <row r="6" spans="2:8" ht="13">
      <c r="B6" s="121" t="s">
        <v>192</v>
      </c>
      <c r="C6" s="121"/>
      <c r="E6" s="144">
        <v>0.26</v>
      </c>
      <c r="F6" s="121" t="s">
        <v>193</v>
      </c>
    </row>
    <row r="7" spans="2:8" ht="13">
      <c r="B7" s="121" t="s">
        <v>194</v>
      </c>
      <c r="C7" s="121"/>
      <c r="E7" s="145">
        <v>2.1000000000000001E-2</v>
      </c>
    </row>
    <row r="8" spans="2:8" ht="13">
      <c r="B8" s="121" t="s">
        <v>195</v>
      </c>
      <c r="C8" s="121"/>
      <c r="E8" s="145">
        <v>1.7000000000000001E-2</v>
      </c>
    </row>
    <row r="9" spans="2:8" ht="13">
      <c r="B9" s="121" t="s">
        <v>227</v>
      </c>
      <c r="C9" s="121"/>
      <c r="E9" s="143">
        <v>8.9440000000000008</v>
      </c>
    </row>
    <row r="10" spans="2:8" ht="13">
      <c r="B10" s="121" t="s">
        <v>196</v>
      </c>
      <c r="C10" s="121"/>
      <c r="E10" s="141">
        <f>GNTX_DCF!I81</f>
        <v>259.23091299999999</v>
      </c>
    </row>
    <row r="11" spans="2:8" ht="13">
      <c r="B11" s="121"/>
      <c r="C11" s="121"/>
      <c r="E11" s="146"/>
    </row>
    <row r="12" spans="2:8" ht="13">
      <c r="B12" s="121" t="s">
        <v>225</v>
      </c>
      <c r="C12" s="127" t="s">
        <v>226</v>
      </c>
      <c r="E12" s="146"/>
    </row>
    <row r="13" spans="2:8" ht="13">
      <c r="B13" s="121"/>
      <c r="C13" s="121"/>
    </row>
    <row r="14" spans="2:8" s="124" customFormat="1" ht="13.5">
      <c r="B14" s="122" t="s">
        <v>197</v>
      </c>
      <c r="C14" s="123"/>
    </row>
    <row r="15" spans="2:8" s="121" customFormat="1" ht="13">
      <c r="B15" s="125" t="s">
        <v>198</v>
      </c>
    </row>
    <row r="16" spans="2:8" s="121" customFormat="1" ht="13">
      <c r="B16" s="121" t="s">
        <v>199</v>
      </c>
      <c r="D16" s="126">
        <f ca="1">E3</f>
        <v>33.43158771191785</v>
      </c>
      <c r="E16" s="121" t="s">
        <v>200</v>
      </c>
      <c r="G16" s="127">
        <f>E9</f>
        <v>8.9440000000000008</v>
      </c>
      <c r="H16" s="128"/>
    </row>
    <row r="17" spans="2:8" s="121" customFormat="1" ht="13">
      <c r="B17" s="121" t="s">
        <v>201</v>
      </c>
      <c r="D17" s="126">
        <f>E4</f>
        <v>18</v>
      </c>
      <c r="E17" s="121" t="s">
        <v>202</v>
      </c>
      <c r="G17" s="129">
        <f>E10</f>
        <v>259.23091299999999</v>
      </c>
      <c r="H17" s="128"/>
    </row>
    <row r="18" spans="2:8" s="121" customFormat="1" ht="13">
      <c r="B18" s="121" t="s">
        <v>203</v>
      </c>
      <c r="D18" s="126">
        <f ca="1">(D16*G17+D29*G16)/(G17+G16)</f>
        <v>32.788921595179922</v>
      </c>
      <c r="E18" s="121" t="s">
        <v>204</v>
      </c>
      <c r="G18" s="130">
        <f>E8</f>
        <v>1.7000000000000001E-2</v>
      </c>
    </row>
    <row r="19" spans="2:8" s="121" customFormat="1" ht="13">
      <c r="B19" s="121" t="s">
        <v>205</v>
      </c>
      <c r="D19" s="126">
        <f>D17</f>
        <v>18</v>
      </c>
      <c r="E19" s="121" t="s">
        <v>206</v>
      </c>
      <c r="G19" s="131">
        <f>E6^2</f>
        <v>6.7600000000000007E-2</v>
      </c>
    </row>
    <row r="20" spans="2:8" s="121" customFormat="1" ht="13">
      <c r="B20" s="121" t="s">
        <v>207</v>
      </c>
      <c r="D20" s="126">
        <f>E5</f>
        <v>2.7</v>
      </c>
      <c r="E20" s="121" t="s">
        <v>208</v>
      </c>
      <c r="G20" s="130">
        <f>E7</f>
        <v>2.1000000000000001E-2</v>
      </c>
    </row>
    <row r="21" spans="2:8" s="121" customFormat="1" ht="13">
      <c r="D21" s="125"/>
      <c r="E21" s="121" t="s">
        <v>209</v>
      </c>
      <c r="G21" s="132">
        <f>G18-G20</f>
        <v>-4.0000000000000001E-3</v>
      </c>
    </row>
    <row r="22" spans="2:8" s="121" customFormat="1" ht="13"/>
    <row r="23" spans="2:8" s="121" customFormat="1" ht="13">
      <c r="B23" s="121" t="s">
        <v>210</v>
      </c>
      <c r="C23" s="127">
        <f ca="1">(LN(D18/D19)+(G21+(G19/2))*D20)/(((G19)^(0.5))*(D20^0.5))</f>
        <v>1.5920912430628502</v>
      </c>
    </row>
    <row r="24" spans="2:8" s="121" customFormat="1" ht="13">
      <c r="B24" s="121" t="s">
        <v>211</v>
      </c>
      <c r="C24" s="127">
        <f ca="1">NORMSDIST(C23)</f>
        <v>0.94431789778648934</v>
      </c>
    </row>
    <row r="25" spans="2:8" s="121" customFormat="1" ht="13"/>
    <row r="26" spans="2:8" s="121" customFormat="1" ht="13">
      <c r="B26" s="121" t="s">
        <v>212</v>
      </c>
      <c r="C26" s="127">
        <f ca="1">C23-((G19^0.5)*(D20^(0.5)))</f>
        <v>1.1648676482088205</v>
      </c>
    </row>
    <row r="27" spans="2:8" s="121" customFormat="1" ht="13">
      <c r="B27" s="121" t="s">
        <v>213</v>
      </c>
      <c r="C27" s="127">
        <f ca="1">NORMSDIST(C26)</f>
        <v>0.8779637146299677</v>
      </c>
    </row>
    <row r="28" spans="2:8" ht="13.5" thickBot="1">
      <c r="B28" s="121"/>
      <c r="C28" s="121"/>
    </row>
    <row r="29" spans="2:8" s="121" customFormat="1" ht="13.5" thickBot="1">
      <c r="B29" s="121" t="s">
        <v>214</v>
      </c>
      <c r="D29" s="133">
        <f ca="1">IF(C12="OFF",((EXP((0-G20)*D20))*D18*C24-D19*(EXP((0-G18)*D20))*C27),0)</f>
        <v>14.162029355003469</v>
      </c>
      <c r="H29" s="134"/>
    </row>
    <row r="30" spans="2:8" s="121" customFormat="1" ht="13.5" thickBot="1">
      <c r="B30" s="121" t="s">
        <v>215</v>
      </c>
      <c r="E30" s="135">
        <f ca="1">D29*E9</f>
        <v>126.66519055115104</v>
      </c>
    </row>
  </sheetData>
  <dataValidations count="1">
    <dataValidation type="list" allowBlank="1" showInputMessage="1" showErrorMessage="1" sqref="C12" xr:uid="{2C127D6D-50AD-40E2-B62A-6903BD2CC8CA}">
      <formula1>"ON,OFF"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K46"/>
  <sheetViews>
    <sheetView topLeftCell="A4" zoomScale="130" zoomScaleNormal="130" workbookViewId="0">
      <selection activeCell="C13" sqref="C13"/>
    </sheetView>
  </sheetViews>
  <sheetFormatPr defaultColWidth="9.1796875" defaultRowHeight="12.5" outlineLevelRow="1"/>
  <cols>
    <col min="1" max="1" width="50.7265625" style="61" customWidth="1"/>
    <col min="2" max="2" width="15.26953125" style="61" customWidth="1"/>
    <col min="3" max="3" width="13" style="61" customWidth="1"/>
    <col min="4" max="199" width="12.7265625" style="61" customWidth="1"/>
    <col min="200" max="16384" width="9.1796875" style="61"/>
  </cols>
  <sheetData>
    <row r="1" spans="1:9" ht="20">
      <c r="A1" s="74" t="s">
        <v>74</v>
      </c>
      <c r="B1" s="74"/>
      <c r="C1" s="74"/>
    </row>
    <row r="2" spans="1:9" ht="13">
      <c r="A2" s="73" t="s">
        <v>73</v>
      </c>
      <c r="B2" s="73"/>
      <c r="C2" s="73"/>
    </row>
    <row r="6" spans="1:9" ht="13">
      <c r="A6" s="72"/>
      <c r="B6" s="72"/>
      <c r="C6" s="72"/>
      <c r="D6" s="71" t="s">
        <v>72</v>
      </c>
      <c r="E6" s="71"/>
      <c r="F6" s="71"/>
      <c r="G6" s="71"/>
      <c r="H6" s="71"/>
    </row>
    <row r="7" spans="1:9" ht="13">
      <c r="A7" s="70"/>
      <c r="B7" s="66">
        <v>2018</v>
      </c>
      <c r="C7" s="66">
        <v>2017</v>
      </c>
      <c r="D7" s="66">
        <v>2016</v>
      </c>
      <c r="E7" s="66">
        <v>2015</v>
      </c>
      <c r="F7" s="66">
        <v>2014</v>
      </c>
      <c r="G7" s="66">
        <v>2013</v>
      </c>
      <c r="H7" s="66">
        <v>2012</v>
      </c>
      <c r="I7" s="70"/>
    </row>
    <row r="8" spans="1:9">
      <c r="A8" s="67" t="s">
        <v>50</v>
      </c>
      <c r="B8" s="64">
        <v>1834.063697</v>
      </c>
      <c r="C8" s="64">
        <v>1794.873</v>
      </c>
      <c r="D8" s="64">
        <v>1678.925</v>
      </c>
      <c r="E8" s="64">
        <v>1543.6179999999999</v>
      </c>
      <c r="F8" s="64">
        <v>1375.501</v>
      </c>
      <c r="G8" s="64">
        <v>1171.864</v>
      </c>
      <c r="H8" s="64">
        <v>1099.56</v>
      </c>
      <c r="I8" s="67"/>
    </row>
    <row r="9" spans="1:9">
      <c r="A9" s="67" t="s">
        <v>49</v>
      </c>
      <c r="B9" s="64">
        <v>1143.5970050000001</v>
      </c>
      <c r="C9" s="64">
        <v>1100.3440000000001</v>
      </c>
      <c r="D9" s="64">
        <v>1010.473</v>
      </c>
      <c r="E9" s="64">
        <v>939.84199999999998</v>
      </c>
      <c r="F9" s="64">
        <v>836.61099999999999</v>
      </c>
      <c r="G9" s="64">
        <v>741.13099999999997</v>
      </c>
      <c r="H9" s="64">
        <v>726.74099999999999</v>
      </c>
      <c r="I9" s="67"/>
    </row>
    <row r="10" spans="1:9">
      <c r="A10" s="67" t="s">
        <v>71</v>
      </c>
      <c r="B10" s="64">
        <v>690.46669199999997</v>
      </c>
      <c r="C10" s="64">
        <v>694.52800000000002</v>
      </c>
      <c r="D10" s="64">
        <v>668.452</v>
      </c>
      <c r="E10" s="64">
        <v>603.77599999999995</v>
      </c>
      <c r="F10" s="64">
        <v>538.89</v>
      </c>
      <c r="G10" s="64">
        <v>430.733</v>
      </c>
      <c r="H10" s="64">
        <v>372.81900000000002</v>
      </c>
      <c r="I10" s="67"/>
    </row>
    <row r="11" spans="1:9">
      <c r="A11" s="67" t="s">
        <v>47</v>
      </c>
      <c r="B11" s="64">
        <v>107.134862</v>
      </c>
      <c r="C11" s="64">
        <v>99.725999999999999</v>
      </c>
      <c r="D11" s="64">
        <v>94.238</v>
      </c>
      <c r="E11" s="64">
        <v>88.393000000000001</v>
      </c>
      <c r="F11" s="64">
        <v>84.176000000000002</v>
      </c>
      <c r="G11" s="64">
        <v>76.495000000000005</v>
      </c>
      <c r="H11" s="64">
        <v>85.004000000000005</v>
      </c>
      <c r="I11" s="67"/>
    </row>
    <row r="12" spans="1:9">
      <c r="A12" s="67" t="s">
        <v>46</v>
      </c>
      <c r="B12" s="64">
        <v>75.206282999999999</v>
      </c>
      <c r="C12" s="64">
        <v>71.442999999999998</v>
      </c>
      <c r="D12" s="64">
        <v>62.470999999999997</v>
      </c>
      <c r="E12" s="64">
        <v>56.616999999999997</v>
      </c>
      <c r="F12" s="64">
        <v>55.88</v>
      </c>
      <c r="G12" s="64">
        <v>49.496000000000002</v>
      </c>
      <c r="H12" s="64">
        <v>48.36</v>
      </c>
      <c r="I12" s="67"/>
    </row>
    <row r="13" spans="1:9">
      <c r="A13" s="67" t="s">
        <v>70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5</v>
      </c>
      <c r="I13" s="67"/>
    </row>
    <row r="14" spans="1:9">
      <c r="A14" s="67" t="s">
        <v>69</v>
      </c>
      <c r="B14" s="64">
        <v>182.34114500000001</v>
      </c>
      <c r="C14" s="64">
        <v>171.17</v>
      </c>
      <c r="D14" s="64">
        <v>156.709</v>
      </c>
      <c r="E14" s="64">
        <v>145.01</v>
      </c>
      <c r="F14" s="64">
        <v>140.05600000000001</v>
      </c>
      <c r="G14" s="64">
        <v>125.991</v>
      </c>
      <c r="H14" s="64">
        <v>138.363</v>
      </c>
      <c r="I14" s="67"/>
    </row>
    <row r="15" spans="1:9" ht="13">
      <c r="A15" s="69" t="s">
        <v>68</v>
      </c>
      <c r="B15" s="68">
        <v>508.12554699999998</v>
      </c>
      <c r="C15" s="68">
        <v>523.35799999999995</v>
      </c>
      <c r="D15" s="68">
        <v>511.74299999999999</v>
      </c>
      <c r="E15" s="68">
        <v>458.76600000000002</v>
      </c>
      <c r="F15" s="68">
        <v>398.834</v>
      </c>
      <c r="G15" s="68">
        <v>304.74200000000002</v>
      </c>
      <c r="H15" s="68">
        <v>234.45500000000001</v>
      </c>
      <c r="I15" s="67"/>
    </row>
    <row r="16" spans="1:9">
      <c r="A16" s="67"/>
      <c r="B16" s="64"/>
      <c r="C16" s="64"/>
      <c r="D16" s="64"/>
      <c r="E16" s="64"/>
      <c r="F16" s="64"/>
      <c r="G16" s="64"/>
      <c r="H16" s="64"/>
      <c r="I16" s="67"/>
    </row>
    <row r="17" spans="1:9" outlineLevel="1">
      <c r="A17" s="67" t="s">
        <v>67</v>
      </c>
      <c r="B17" s="64"/>
      <c r="C17" s="64">
        <v>9.4420000000000002</v>
      </c>
      <c r="D17" s="64">
        <v>4.7869999999999999</v>
      </c>
      <c r="E17" s="64">
        <v>4.9909999999999997</v>
      </c>
      <c r="F17" s="64">
        <v>6.0170000000000003</v>
      </c>
      <c r="G17" s="64">
        <v>6.7249999999999996</v>
      </c>
      <c r="H17" s="64">
        <v>5.3070000000000004</v>
      </c>
      <c r="I17" s="67"/>
    </row>
    <row r="18" spans="1:9" outlineLevel="1">
      <c r="A18" s="67" t="s">
        <v>66</v>
      </c>
      <c r="B18" s="64"/>
      <c r="C18" s="64">
        <v>-1.004</v>
      </c>
      <c r="D18" s="64">
        <v>5.9690000000000003</v>
      </c>
      <c r="E18" s="64">
        <v>0.16600000000000001</v>
      </c>
      <c r="F18" s="64">
        <v>10.476000000000001</v>
      </c>
      <c r="G18" s="64">
        <v>16.597999999999999</v>
      </c>
      <c r="H18" s="64">
        <v>9.8629999999999995</v>
      </c>
      <c r="I18" s="67"/>
    </row>
    <row r="19" spans="1:9" outlineLevel="1">
      <c r="A19" s="67" t="s">
        <v>65</v>
      </c>
      <c r="B19" s="64"/>
      <c r="C19" s="64">
        <v>8.4380000000000006</v>
      </c>
      <c r="D19" s="64">
        <v>1.1819999999999999</v>
      </c>
      <c r="E19" s="64">
        <v>4.8250000000000002</v>
      </c>
      <c r="F19" s="64">
        <v>16.492000000000001</v>
      </c>
      <c r="G19" s="64">
        <v>23.321999999999999</v>
      </c>
      <c r="H19" s="64">
        <v>15.17</v>
      </c>
      <c r="I19" s="67"/>
    </row>
    <row r="20" spans="1:9" outlineLevel="1">
      <c r="A20" s="67" t="s">
        <v>64</v>
      </c>
      <c r="B20" s="64"/>
      <c r="C20" s="64">
        <v>531.79700000000003</v>
      </c>
      <c r="D20" s="64">
        <v>510.56099999999998</v>
      </c>
      <c r="E20" s="64">
        <v>463.59100000000001</v>
      </c>
      <c r="F20" s="64">
        <v>415.32600000000002</v>
      </c>
      <c r="G20" s="64">
        <v>328.06400000000002</v>
      </c>
      <c r="H20" s="64">
        <v>249.626</v>
      </c>
      <c r="I20" s="67"/>
    </row>
    <row r="21" spans="1:9" outlineLevel="1">
      <c r="A21" s="67" t="s">
        <v>63</v>
      </c>
      <c r="B21" s="64"/>
      <c r="C21" s="64">
        <v>133.166</v>
      </c>
      <c r="D21" s="64">
        <v>136.124</v>
      </c>
      <c r="E21" s="64">
        <v>129.38</v>
      </c>
      <c r="F21" s="64">
        <v>108.69</v>
      </c>
      <c r="G21" s="64">
        <v>95.284999999999997</v>
      </c>
      <c r="H21" s="64">
        <v>76.507999999999996</v>
      </c>
      <c r="I21" s="67"/>
    </row>
    <row r="22" spans="1:9" outlineLevel="1">
      <c r="A22" s="67" t="s">
        <v>62</v>
      </c>
      <c r="B22" s="64"/>
      <c r="C22" s="64">
        <v>3.984</v>
      </c>
      <c r="D22" s="64">
        <v>3.8050000000000002</v>
      </c>
      <c r="E22" s="64">
        <v>2.9079999999999999</v>
      </c>
      <c r="F22" s="64">
        <v>2.2360000000000002</v>
      </c>
      <c r="G22" s="64">
        <v>3.2589999999999999</v>
      </c>
      <c r="H22" s="64">
        <v>2.4500000000000002</v>
      </c>
      <c r="I22" s="67"/>
    </row>
    <row r="23" spans="1:9" outlineLevel="1">
      <c r="A23" s="67" t="s">
        <v>61</v>
      </c>
      <c r="B23" s="64"/>
      <c r="C23" s="64">
        <v>2.44</v>
      </c>
      <c r="D23" s="64">
        <v>0.54</v>
      </c>
      <c r="E23" s="64">
        <v>0.27600000000000002</v>
      </c>
      <c r="F23" s="64">
        <v>0.97799999999999998</v>
      </c>
      <c r="G23" s="64">
        <v>1.353</v>
      </c>
      <c r="H23" s="64">
        <v>1.238</v>
      </c>
      <c r="I23" s="67"/>
    </row>
    <row r="24" spans="1:9" outlineLevel="1">
      <c r="A24" s="67" t="s">
        <v>60</v>
      </c>
      <c r="B24" s="64"/>
      <c r="C24" s="64">
        <v>139.59</v>
      </c>
      <c r="D24" s="64">
        <v>140.46899999999999</v>
      </c>
      <c r="E24" s="64">
        <v>132.56399999999999</v>
      </c>
      <c r="F24" s="64">
        <v>111.904</v>
      </c>
      <c r="G24" s="64">
        <v>99.897000000000006</v>
      </c>
      <c r="H24" s="64">
        <v>80.195999999999998</v>
      </c>
      <c r="I24" s="67"/>
    </row>
    <row r="25" spans="1:9" outlineLevel="1">
      <c r="A25" s="67" t="s">
        <v>59</v>
      </c>
      <c r="B25" s="64"/>
      <c r="C25" s="64">
        <v>-14.585000000000001</v>
      </c>
      <c r="D25" s="64">
        <v>22.5</v>
      </c>
      <c r="E25" s="64">
        <v>12.558</v>
      </c>
      <c r="F25" s="64">
        <v>14.818</v>
      </c>
      <c r="G25" s="64">
        <v>5.2370000000000001</v>
      </c>
      <c r="H25" s="64">
        <v>0.84299999999999997</v>
      </c>
      <c r="I25" s="67"/>
    </row>
    <row r="26" spans="1:9" outlineLevel="1">
      <c r="A26" s="67" t="s">
        <v>58</v>
      </c>
      <c r="B26" s="64"/>
      <c r="C26" s="64">
        <v>125.005</v>
      </c>
      <c r="D26" s="64">
        <v>162.96899999999999</v>
      </c>
      <c r="E26" s="64">
        <v>145.12200000000001</v>
      </c>
      <c r="F26" s="64">
        <v>126.72199999999999</v>
      </c>
      <c r="G26" s="64">
        <v>105.134</v>
      </c>
      <c r="H26" s="64">
        <v>81.039000000000001</v>
      </c>
      <c r="I26" s="67"/>
    </row>
    <row r="27" spans="1:9" ht="13">
      <c r="A27" s="69" t="s">
        <v>57</v>
      </c>
      <c r="B27" s="68">
        <v>437.88309700000002</v>
      </c>
      <c r="C27" s="68">
        <v>406.79199999999997</v>
      </c>
      <c r="D27" s="68">
        <v>347.59100000000001</v>
      </c>
      <c r="E27" s="68">
        <v>318.47000000000003</v>
      </c>
      <c r="F27" s="68">
        <v>288.60500000000002</v>
      </c>
      <c r="G27" s="68">
        <v>222.93</v>
      </c>
      <c r="H27" s="68">
        <v>168.58699999999999</v>
      </c>
      <c r="I27" s="67"/>
    </row>
    <row r="28" spans="1:9" ht="13">
      <c r="A28" s="69"/>
      <c r="B28" s="69"/>
      <c r="C28" s="68"/>
      <c r="D28" s="68"/>
      <c r="E28" s="68"/>
      <c r="F28" s="68"/>
      <c r="G28" s="68"/>
      <c r="H28" s="68"/>
      <c r="I28" s="67"/>
    </row>
    <row r="29" spans="1:9">
      <c r="A29" s="67" t="s">
        <v>56</v>
      </c>
      <c r="B29" s="67"/>
      <c r="C29" s="64">
        <v>285.86500000000001</v>
      </c>
      <c r="D29" s="64">
        <v>288.43400000000003</v>
      </c>
      <c r="E29" s="64">
        <v>293.096</v>
      </c>
      <c r="F29" s="64">
        <v>290.952</v>
      </c>
      <c r="G29" s="64">
        <v>286.92</v>
      </c>
      <c r="H29" s="64">
        <v>286.19499999999999</v>
      </c>
      <c r="I29" s="67"/>
    </row>
    <row r="30" spans="1:9">
      <c r="A30" s="67" t="s">
        <v>55</v>
      </c>
      <c r="B30" s="67"/>
      <c r="C30" s="64">
        <v>288.226</v>
      </c>
      <c r="D30" s="64">
        <v>291.072</v>
      </c>
      <c r="E30" s="64">
        <v>296.238</v>
      </c>
      <c r="F30" s="64">
        <v>294.29899999999998</v>
      </c>
      <c r="G30" s="64">
        <v>288.548</v>
      </c>
      <c r="H30" s="64">
        <v>287.93599999999998</v>
      </c>
      <c r="I30" s="67"/>
    </row>
    <row r="31" spans="1:9">
      <c r="A31" s="67" t="s">
        <v>54</v>
      </c>
      <c r="B31" s="67"/>
      <c r="C31" s="64">
        <v>280.28100000000001</v>
      </c>
      <c r="D31" s="64">
        <v>287.738</v>
      </c>
      <c r="E31" s="64">
        <v>291.33800000000002</v>
      </c>
      <c r="F31" s="64">
        <v>295.24799999999999</v>
      </c>
      <c r="G31" s="64">
        <v>291.15600000000001</v>
      </c>
      <c r="H31" s="64">
        <v>286.15300000000002</v>
      </c>
      <c r="I31" s="67"/>
    </row>
    <row r="32" spans="1:9">
      <c r="A32" s="67"/>
      <c r="B32" s="67"/>
      <c r="C32" s="67"/>
      <c r="D32" s="64"/>
      <c r="E32" s="64"/>
      <c r="F32" s="64"/>
      <c r="G32" s="64"/>
      <c r="H32" s="64"/>
      <c r="I32" s="67"/>
    </row>
    <row r="33" spans="1:11">
      <c r="D33" s="62"/>
      <c r="E33" s="62"/>
      <c r="F33" s="62"/>
      <c r="G33" s="62"/>
      <c r="H33" s="62"/>
    </row>
    <row r="34" spans="1:11" ht="13">
      <c r="D34" s="66"/>
      <c r="E34" s="66"/>
      <c r="F34" s="66"/>
      <c r="G34" s="66"/>
      <c r="H34" s="66"/>
    </row>
    <row r="35" spans="1:11" ht="13" thickBot="1">
      <c r="A35" s="65"/>
      <c r="B35" s="65"/>
      <c r="C35" s="65"/>
      <c r="D35" s="64"/>
      <c r="E35" s="64"/>
      <c r="F35" s="64"/>
      <c r="G35" s="64"/>
      <c r="H35" s="64"/>
    </row>
    <row r="36" spans="1:11" ht="13" thickBot="1">
      <c r="A36" s="65"/>
      <c r="B36" s="65"/>
      <c r="C36" s="65"/>
      <c r="D36" s="64"/>
      <c r="E36" s="64"/>
      <c r="F36" s="64"/>
      <c r="G36" s="64"/>
      <c r="H36" s="64"/>
      <c r="I36" s="63"/>
      <c r="K36" s="63"/>
    </row>
    <row r="37" spans="1:11">
      <c r="D37" s="62"/>
      <c r="E37" s="62"/>
      <c r="F37" s="62"/>
      <c r="G37" s="62"/>
      <c r="H37" s="62"/>
    </row>
    <row r="38" spans="1:11">
      <c r="D38" s="62"/>
      <c r="E38" s="62"/>
      <c r="F38" s="62"/>
      <c r="G38" s="62"/>
      <c r="H38" s="62"/>
    </row>
    <row r="39" spans="1:11">
      <c r="D39" s="62"/>
      <c r="E39" s="62"/>
      <c r="F39" s="62"/>
      <c r="G39" s="62"/>
      <c r="H39" s="62"/>
    </row>
    <row r="40" spans="1:11">
      <c r="D40" s="62"/>
      <c r="E40" s="62"/>
      <c r="F40" s="62"/>
      <c r="G40" s="62"/>
      <c r="H40" s="62"/>
    </row>
    <row r="41" spans="1:11">
      <c r="D41" s="62"/>
      <c r="E41" s="62"/>
      <c r="F41" s="62"/>
      <c r="G41" s="62"/>
      <c r="H41" s="62"/>
    </row>
    <row r="42" spans="1:11">
      <c r="D42" s="62"/>
      <c r="E42" s="62"/>
      <c r="F42" s="62"/>
      <c r="G42" s="62"/>
      <c r="H42" s="62"/>
    </row>
    <row r="43" spans="1:11">
      <c r="D43" s="62"/>
      <c r="E43" s="62"/>
      <c r="F43" s="62"/>
      <c r="G43" s="62"/>
      <c r="H43" s="62"/>
    </row>
    <row r="44" spans="1:11">
      <c r="D44" s="62"/>
      <c r="E44" s="62"/>
      <c r="F44" s="62"/>
      <c r="G44" s="62"/>
      <c r="H44" s="62"/>
    </row>
    <row r="45" spans="1:11">
      <c r="D45" s="62"/>
      <c r="E45" s="62"/>
      <c r="F45" s="62"/>
      <c r="G45" s="62"/>
      <c r="H45" s="62"/>
    </row>
    <row r="46" spans="1:11">
      <c r="D46" s="62"/>
      <c r="E46" s="62"/>
      <c r="F46" s="62"/>
      <c r="G46" s="62"/>
      <c r="H46" s="62"/>
    </row>
  </sheetData>
  <printOptions gridLines="1" gridLinesSet="0"/>
  <pageMargins left="0.75" right="0.75" top="1" bottom="1" header="0.5" footer="0.5"/>
  <pageSetup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48"/>
  <sheetViews>
    <sheetView topLeftCell="A27" zoomScale="145" zoomScaleNormal="145" workbookViewId="0">
      <selection activeCell="B48" sqref="B48"/>
    </sheetView>
  </sheetViews>
  <sheetFormatPr defaultColWidth="9.1796875" defaultRowHeight="12.5"/>
  <cols>
    <col min="1" max="1" width="50.7265625" style="61" customWidth="1"/>
    <col min="2" max="2" width="11.54296875" style="61" customWidth="1"/>
    <col min="3" max="195" width="12.7265625" style="61" customWidth="1"/>
    <col min="196" max="16384" width="9.1796875" style="61"/>
  </cols>
  <sheetData>
    <row r="1" spans="1:9" ht="20">
      <c r="A1" s="78" t="s">
        <v>74</v>
      </c>
      <c r="B1" s="78"/>
    </row>
    <row r="2" spans="1:9" ht="13">
      <c r="A2" s="73" t="s">
        <v>73</v>
      </c>
      <c r="B2" s="73"/>
    </row>
    <row r="5" spans="1:9" ht="13">
      <c r="A5" s="77"/>
      <c r="B5" s="77"/>
      <c r="C5" s="72"/>
      <c r="D5" s="71" t="s">
        <v>72</v>
      </c>
      <c r="E5" s="71"/>
      <c r="F5" s="71"/>
      <c r="G5" s="71"/>
      <c r="H5" s="71"/>
    </row>
    <row r="6" spans="1:9" ht="13">
      <c r="A6" s="76"/>
      <c r="B6" s="66">
        <v>2018</v>
      </c>
      <c r="C6" s="66">
        <v>2017</v>
      </c>
      <c r="D6" s="66">
        <v>2016</v>
      </c>
      <c r="E6" s="66">
        <v>2015</v>
      </c>
      <c r="F6" s="66">
        <v>2014</v>
      </c>
      <c r="G6" s="66">
        <v>2013</v>
      </c>
      <c r="H6" s="66">
        <v>2012</v>
      </c>
      <c r="I6" s="76"/>
    </row>
    <row r="7" spans="1:9">
      <c r="A7" s="67" t="s">
        <v>57</v>
      </c>
      <c r="B7" s="64"/>
      <c r="C7" s="64">
        <v>406.79199999999997</v>
      </c>
      <c r="D7" s="64">
        <v>347.59100000000001</v>
      </c>
      <c r="E7" s="64">
        <v>318.47000000000003</v>
      </c>
      <c r="F7" s="64">
        <v>288.60500000000002</v>
      </c>
      <c r="G7" s="64">
        <v>222.93</v>
      </c>
      <c r="H7" s="64">
        <v>168.58699999999999</v>
      </c>
      <c r="I7" s="67"/>
    </row>
    <row r="8" spans="1:9">
      <c r="A8" s="67" t="s">
        <v>109</v>
      </c>
      <c r="B8" s="64">
        <v>102.2</v>
      </c>
      <c r="C8" s="64">
        <v>99.570999999999998</v>
      </c>
      <c r="D8" s="64">
        <v>88.587000000000003</v>
      </c>
      <c r="E8" s="64">
        <v>80.599000000000004</v>
      </c>
      <c r="F8" s="64">
        <v>77.376000000000005</v>
      </c>
      <c r="G8" s="64">
        <v>62.853999999999999</v>
      </c>
      <c r="H8" s="64">
        <v>50.18</v>
      </c>
      <c r="I8" s="67"/>
    </row>
    <row r="9" spans="1:9">
      <c r="A9" s="67" t="s">
        <v>108</v>
      </c>
      <c r="B9" s="64"/>
      <c r="C9" s="64">
        <v>-0.188</v>
      </c>
      <c r="D9" s="64">
        <v>-0.14599999999999999</v>
      </c>
      <c r="E9" s="64">
        <v>-1.0999999999999999E-2</v>
      </c>
      <c r="F9" s="64">
        <v>-4.3999999999999997E-2</v>
      </c>
      <c r="G9" s="64">
        <v>-5.5E-2</v>
      </c>
      <c r="H9" s="64">
        <v>-0.41899999999999998</v>
      </c>
      <c r="I9" s="67"/>
    </row>
    <row r="10" spans="1:9">
      <c r="A10" s="67" t="s">
        <v>107</v>
      </c>
      <c r="B10" s="64"/>
      <c r="C10" s="64">
        <v>0.29899999999999999</v>
      </c>
      <c r="D10" s="64">
        <v>1.08</v>
      </c>
      <c r="E10" s="64">
        <v>0.45600000000000002</v>
      </c>
      <c r="F10" s="64">
        <v>0.64100000000000001</v>
      </c>
      <c r="G10" s="64">
        <v>2.1629999999999998</v>
      </c>
      <c r="H10" s="64">
        <v>0.95199999999999996</v>
      </c>
      <c r="I10" s="67"/>
    </row>
    <row r="11" spans="1:9">
      <c r="A11" s="67" t="s">
        <v>106</v>
      </c>
      <c r="B11" s="64"/>
      <c r="C11" s="64">
        <v>-1.3089999999999999</v>
      </c>
      <c r="D11" s="64">
        <v>-4.24</v>
      </c>
      <c r="E11" s="64">
        <v>-9.6660000000000004</v>
      </c>
      <c r="F11" s="64">
        <v>-16.742999999999999</v>
      </c>
      <c r="G11" s="64">
        <v>-19.012</v>
      </c>
      <c r="H11" s="64">
        <v>-9.5839999999999996</v>
      </c>
      <c r="I11" s="67"/>
    </row>
    <row r="12" spans="1:9">
      <c r="A12" s="67" t="s">
        <v>105</v>
      </c>
      <c r="B12" s="64"/>
      <c r="C12" s="64">
        <v>0.375</v>
      </c>
      <c r="D12" s="64">
        <v>3.92</v>
      </c>
      <c r="E12" s="64">
        <v>2.706</v>
      </c>
      <c r="F12" s="64">
        <v>1.1499999999999999</v>
      </c>
      <c r="G12" s="64">
        <v>0.88300000000000001</v>
      </c>
      <c r="H12" s="64">
        <v>1.216</v>
      </c>
      <c r="I12" s="67"/>
    </row>
    <row r="13" spans="1:9">
      <c r="A13" s="67" t="s">
        <v>104</v>
      </c>
      <c r="B13" s="64"/>
      <c r="C13" s="64">
        <v>-14.996</v>
      </c>
      <c r="D13" s="64">
        <v>22.498000000000001</v>
      </c>
      <c r="E13" s="64">
        <v>13.058</v>
      </c>
      <c r="F13" s="64">
        <v>14.818</v>
      </c>
      <c r="G13" s="64">
        <v>-7.7270000000000003</v>
      </c>
      <c r="H13" s="64">
        <v>0.84299999999999997</v>
      </c>
      <c r="I13" s="67"/>
    </row>
    <row r="14" spans="1:9">
      <c r="A14" s="67" t="s">
        <v>103</v>
      </c>
      <c r="B14" s="64"/>
      <c r="C14" s="64">
        <v>18.376999999999999</v>
      </c>
      <c r="D14" s="64">
        <v>19.193000000000001</v>
      </c>
      <c r="E14" s="64">
        <v>21.431000000000001</v>
      </c>
      <c r="F14" s="64">
        <v>21.277000000000001</v>
      </c>
      <c r="G14" s="64">
        <v>17.427</v>
      </c>
      <c r="H14" s="64">
        <v>16.434000000000001</v>
      </c>
      <c r="I14" s="67"/>
    </row>
    <row r="15" spans="1:9">
      <c r="A15" s="67" t="s">
        <v>82</v>
      </c>
      <c r="B15" s="64"/>
      <c r="C15" s="64">
        <v>0</v>
      </c>
      <c r="D15" s="64">
        <v>-5.5830000000000002</v>
      </c>
      <c r="E15" s="64">
        <v>-2.8380000000000001</v>
      </c>
      <c r="F15" s="64">
        <v>-5.5019999999999998</v>
      </c>
      <c r="G15" s="64">
        <v>-4.4450000000000003</v>
      </c>
      <c r="H15" s="64">
        <v>-0.81599999999999995</v>
      </c>
      <c r="I15" s="67"/>
    </row>
    <row r="16" spans="1:9">
      <c r="A16" s="67" t="s">
        <v>102</v>
      </c>
      <c r="B16" s="64"/>
      <c r="C16" s="64">
        <v>-19.53</v>
      </c>
      <c r="D16" s="64">
        <v>-15.622</v>
      </c>
      <c r="E16" s="64">
        <v>-27.960999999999999</v>
      </c>
      <c r="F16" s="64">
        <v>-24.962</v>
      </c>
      <c r="G16" s="64">
        <v>-22.347000000000001</v>
      </c>
      <c r="H16" s="64">
        <v>0.81</v>
      </c>
      <c r="I16" s="67"/>
    </row>
    <row r="17" spans="1:9">
      <c r="A17" s="67" t="s">
        <v>101</v>
      </c>
      <c r="B17" s="64"/>
      <c r="C17" s="64">
        <v>-27.454000000000001</v>
      </c>
      <c r="D17" s="64">
        <v>-14.616</v>
      </c>
      <c r="E17" s="64">
        <v>-32.938000000000002</v>
      </c>
      <c r="F17" s="64">
        <v>-21.684000000000001</v>
      </c>
      <c r="G17" s="64">
        <v>39.856000000000002</v>
      </c>
      <c r="H17" s="64">
        <v>28.823</v>
      </c>
      <c r="I17" s="67"/>
    </row>
    <row r="18" spans="1:9">
      <c r="A18" s="67" t="s">
        <v>100</v>
      </c>
      <c r="B18" s="64"/>
      <c r="C18" s="64">
        <v>16.184000000000001</v>
      </c>
      <c r="D18" s="64">
        <v>4.399</v>
      </c>
      <c r="E18" s="64">
        <v>-9.5299999999999994</v>
      </c>
      <c r="F18" s="64">
        <v>-21.946999999999999</v>
      </c>
      <c r="G18" s="64">
        <v>-2.375</v>
      </c>
      <c r="H18" s="64">
        <v>14.869</v>
      </c>
      <c r="I18" s="67"/>
    </row>
    <row r="19" spans="1:9">
      <c r="A19" s="67" t="s">
        <v>99</v>
      </c>
      <c r="B19" s="64"/>
      <c r="C19" s="64">
        <v>9.9350000000000005</v>
      </c>
      <c r="D19" s="64">
        <v>13.61</v>
      </c>
      <c r="E19" s="64">
        <v>-5.1029999999999998</v>
      </c>
      <c r="F19" s="64">
        <v>14.946999999999999</v>
      </c>
      <c r="G19" s="64">
        <v>13.31</v>
      </c>
      <c r="H19" s="64">
        <v>-22.271000000000001</v>
      </c>
      <c r="I19" s="67"/>
    </row>
    <row r="20" spans="1:9">
      <c r="A20" s="67" t="s">
        <v>98</v>
      </c>
      <c r="B20" s="64"/>
      <c r="C20" s="64">
        <v>12.948</v>
      </c>
      <c r="D20" s="64">
        <v>10.794</v>
      </c>
      <c r="E20" s="64">
        <v>2.9049999999999998</v>
      </c>
      <c r="F20" s="64">
        <v>-0.70799999999999996</v>
      </c>
      <c r="G20" s="64">
        <v>13.877000000000001</v>
      </c>
      <c r="H20" s="64">
        <v>8.2219999999999995</v>
      </c>
      <c r="I20" s="67"/>
    </row>
    <row r="21" spans="1:9" ht="13">
      <c r="A21" s="69" t="s">
        <v>97</v>
      </c>
      <c r="B21" s="68"/>
      <c r="C21" s="68">
        <v>501.00299999999999</v>
      </c>
      <c r="D21" s="68">
        <v>471.46499999999997</v>
      </c>
      <c r="E21" s="68">
        <v>351.57799999999997</v>
      </c>
      <c r="F21" s="68">
        <v>327.22300000000001</v>
      </c>
      <c r="G21" s="68">
        <v>317.339</v>
      </c>
      <c r="H21" s="68">
        <v>257.846</v>
      </c>
      <c r="I21" s="67"/>
    </row>
    <row r="22" spans="1:9">
      <c r="A22" s="67"/>
      <c r="B22" s="64"/>
      <c r="C22" s="64"/>
      <c r="D22" s="64"/>
      <c r="E22" s="64"/>
      <c r="F22" s="64"/>
      <c r="G22" s="64"/>
      <c r="H22" s="64"/>
      <c r="I22" s="67"/>
    </row>
    <row r="23" spans="1:9">
      <c r="A23" s="67" t="s">
        <v>96</v>
      </c>
      <c r="B23" s="64"/>
      <c r="C23" s="64">
        <v>30.207999999999998</v>
      </c>
      <c r="D23" s="64">
        <v>87.293000000000006</v>
      </c>
      <c r="E23" s="64">
        <v>58.517000000000003</v>
      </c>
      <c r="F23" s="64">
        <v>75.614000000000004</v>
      </c>
      <c r="G23" s="64">
        <v>82.863</v>
      </c>
      <c r="H23" s="64">
        <v>38.831000000000003</v>
      </c>
      <c r="I23" s="67"/>
    </row>
    <row r="24" spans="1:9">
      <c r="A24" s="67" t="s">
        <v>95</v>
      </c>
      <c r="B24" s="64"/>
      <c r="C24" s="64">
        <v>23.1</v>
      </c>
      <c r="D24" s="64">
        <v>5.5</v>
      </c>
      <c r="E24" s="64">
        <v>0</v>
      </c>
      <c r="F24" s="64">
        <v>0</v>
      </c>
      <c r="G24" s="64">
        <v>98.141999999999996</v>
      </c>
      <c r="H24" s="64">
        <v>75.652000000000001</v>
      </c>
      <c r="I24" s="67"/>
    </row>
    <row r="25" spans="1:9">
      <c r="A25" s="67" t="s">
        <v>94</v>
      </c>
      <c r="B25" s="64"/>
      <c r="C25" s="64">
        <v>-29.875</v>
      </c>
      <c r="D25" s="64">
        <v>-216.67099999999999</v>
      </c>
      <c r="E25" s="64">
        <v>-47.514000000000003</v>
      </c>
      <c r="F25" s="64">
        <v>-80.887</v>
      </c>
      <c r="G25" s="64">
        <v>-60.542999999999999</v>
      </c>
      <c r="H25" s="64">
        <v>-112.545</v>
      </c>
      <c r="I25" s="67"/>
    </row>
    <row r="26" spans="1:9">
      <c r="A26" s="67" t="s">
        <v>93</v>
      </c>
      <c r="B26" s="64">
        <v>-85.99</v>
      </c>
      <c r="C26" s="64">
        <v>-104.041</v>
      </c>
      <c r="D26" s="64">
        <v>-120.956</v>
      </c>
      <c r="E26" s="64">
        <v>-97.941999999999993</v>
      </c>
      <c r="F26" s="64">
        <v>-72.519000000000005</v>
      </c>
      <c r="G26" s="64">
        <v>-55.38</v>
      </c>
      <c r="H26" s="64">
        <v>-117.474</v>
      </c>
      <c r="I26" s="67"/>
    </row>
    <row r="27" spans="1:9">
      <c r="A27" s="67" t="s">
        <v>92</v>
      </c>
      <c r="B27" s="64"/>
      <c r="C27" s="64">
        <v>0.25</v>
      </c>
      <c r="D27" s="64">
        <v>0.66500000000000004</v>
      </c>
      <c r="E27" s="64">
        <v>4.3999999999999997E-2</v>
      </c>
      <c r="F27" s="64">
        <v>0.224</v>
      </c>
      <c r="G27" s="64">
        <v>0.38600000000000001</v>
      </c>
      <c r="H27" s="64">
        <v>1.0649999999999999</v>
      </c>
      <c r="I27" s="67"/>
    </row>
    <row r="28" spans="1:9">
      <c r="A28" s="67" t="s">
        <v>91</v>
      </c>
      <c r="B28" s="64"/>
      <c r="C28" s="64">
        <v>0</v>
      </c>
      <c r="D28" s="64">
        <v>0</v>
      </c>
      <c r="E28" s="64">
        <v>0</v>
      </c>
      <c r="F28" s="64">
        <v>0</v>
      </c>
      <c r="G28" s="64">
        <v>-698.15099999999995</v>
      </c>
      <c r="H28" s="64">
        <v>0</v>
      </c>
      <c r="I28" s="67"/>
    </row>
    <row r="29" spans="1:9">
      <c r="A29" s="67" t="s">
        <v>90</v>
      </c>
      <c r="B29" s="64"/>
      <c r="C29" s="64">
        <v>2.6459999999999999</v>
      </c>
      <c r="D29" s="64">
        <v>-7.2779999999999996</v>
      </c>
      <c r="E29" s="64">
        <v>-2.843</v>
      </c>
      <c r="F29" s="64">
        <v>-2.145</v>
      </c>
      <c r="G29" s="64">
        <v>-0.57399999999999995</v>
      </c>
      <c r="H29" s="64">
        <v>-17.602</v>
      </c>
      <c r="I29" s="67"/>
    </row>
    <row r="30" spans="1:9" ht="13">
      <c r="A30" s="69" t="s">
        <v>89</v>
      </c>
      <c r="B30" s="68"/>
      <c r="C30" s="68">
        <v>-77.712999999999994</v>
      </c>
      <c r="D30" s="68">
        <v>-251.446</v>
      </c>
      <c r="E30" s="68">
        <v>-89.738</v>
      </c>
      <c r="F30" s="68">
        <v>-79.712999999999994</v>
      </c>
      <c r="G30" s="68">
        <v>-633.25699999999995</v>
      </c>
      <c r="H30" s="68">
        <v>-132.07400000000001</v>
      </c>
      <c r="I30" s="67"/>
    </row>
    <row r="31" spans="1:9">
      <c r="A31" s="67"/>
      <c r="B31" s="64"/>
      <c r="C31" s="64"/>
      <c r="D31" s="64"/>
      <c r="E31" s="64"/>
      <c r="F31" s="64"/>
      <c r="G31" s="64"/>
      <c r="H31" s="64"/>
      <c r="I31" s="67"/>
    </row>
    <row r="32" spans="1:9">
      <c r="A32" s="67" t="s">
        <v>88</v>
      </c>
      <c r="B32" s="64"/>
      <c r="C32" s="64">
        <v>0</v>
      </c>
      <c r="D32" s="64">
        <v>0</v>
      </c>
      <c r="E32" s="64">
        <v>0</v>
      </c>
      <c r="F32" s="64">
        <v>0</v>
      </c>
      <c r="G32" s="64">
        <v>275</v>
      </c>
      <c r="H32" s="64">
        <v>0</v>
      </c>
      <c r="I32" s="67"/>
    </row>
    <row r="33" spans="1:9">
      <c r="A33" s="67" t="s">
        <v>87</v>
      </c>
      <c r="B33" s="64"/>
      <c r="C33" s="64">
        <v>-107.625</v>
      </c>
      <c r="D33" s="64">
        <v>-47.5</v>
      </c>
      <c r="E33" s="64">
        <v>-32.5</v>
      </c>
      <c r="F33" s="64">
        <v>-7.5</v>
      </c>
      <c r="G33" s="64">
        <v>-1.875</v>
      </c>
      <c r="H33" s="64">
        <v>0</v>
      </c>
      <c r="I33" s="67"/>
    </row>
    <row r="34" spans="1:9">
      <c r="A34" s="67" t="s">
        <v>86</v>
      </c>
      <c r="B34" s="64"/>
      <c r="C34" s="64">
        <v>0</v>
      </c>
      <c r="D34" s="64">
        <v>0</v>
      </c>
      <c r="E34" s="64">
        <v>0</v>
      </c>
      <c r="F34" s="64">
        <v>0</v>
      </c>
      <c r="G34" s="64">
        <v>-0.95599999999999996</v>
      </c>
      <c r="H34" s="64">
        <v>0</v>
      </c>
      <c r="I34" s="67"/>
    </row>
    <row r="35" spans="1:9">
      <c r="A35" s="67" t="s">
        <v>85</v>
      </c>
      <c r="B35" s="64"/>
      <c r="C35" s="64">
        <v>47.77</v>
      </c>
      <c r="D35" s="64">
        <v>81.31</v>
      </c>
      <c r="E35" s="64">
        <v>30.167999999999999</v>
      </c>
      <c r="F35" s="64">
        <v>59.969000000000001</v>
      </c>
      <c r="G35" s="64">
        <v>38.378</v>
      </c>
      <c r="H35" s="64">
        <v>12.209</v>
      </c>
      <c r="I35" s="67"/>
    </row>
    <row r="36" spans="1:9">
      <c r="A36" s="67" t="s">
        <v>84</v>
      </c>
      <c r="B36" s="64"/>
      <c r="C36" s="64">
        <v>-108.815</v>
      </c>
      <c r="D36" s="64">
        <v>-101.131</v>
      </c>
      <c r="E36" s="64">
        <v>-96.99</v>
      </c>
      <c r="F36" s="64">
        <v>-87.632000000000005</v>
      </c>
      <c r="G36" s="64">
        <v>-79.16</v>
      </c>
      <c r="H36" s="64">
        <v>-73.388000000000005</v>
      </c>
      <c r="I36" s="67"/>
    </row>
    <row r="37" spans="1:9">
      <c r="A37" s="67" t="s">
        <v>83</v>
      </c>
      <c r="B37" s="64"/>
      <c r="C37" s="64">
        <v>-231.363</v>
      </c>
      <c r="D37" s="64">
        <v>-163.36099999999999</v>
      </c>
      <c r="E37" s="64">
        <v>-111.229</v>
      </c>
      <c r="F37" s="64">
        <v>-30.010999999999999</v>
      </c>
      <c r="G37" s="64">
        <v>0</v>
      </c>
      <c r="H37" s="64">
        <v>-33.716999999999999</v>
      </c>
      <c r="I37" s="67"/>
    </row>
    <row r="38" spans="1:9">
      <c r="A38" s="67" t="s">
        <v>82</v>
      </c>
      <c r="B38" s="64"/>
      <c r="C38" s="64">
        <v>0</v>
      </c>
      <c r="D38" s="64">
        <v>5.5830000000000002</v>
      </c>
      <c r="E38" s="64">
        <v>2.8380000000000001</v>
      </c>
      <c r="F38" s="64">
        <v>5.5019999999999998</v>
      </c>
      <c r="G38" s="64">
        <v>4.4450000000000003</v>
      </c>
      <c r="H38" s="64">
        <v>0.81599999999999995</v>
      </c>
      <c r="I38" s="67"/>
    </row>
    <row r="39" spans="1:9" ht="13">
      <c r="A39" s="69" t="s">
        <v>81</v>
      </c>
      <c r="B39" s="68"/>
      <c r="C39" s="68">
        <v>-400.03300000000002</v>
      </c>
      <c r="D39" s="68">
        <v>-225.09899999999999</v>
      </c>
      <c r="E39" s="68">
        <v>-207.71299999999999</v>
      </c>
      <c r="F39" s="68">
        <v>-59.671999999999997</v>
      </c>
      <c r="G39" s="68">
        <v>235.83099999999999</v>
      </c>
      <c r="H39" s="68">
        <v>-94.08</v>
      </c>
      <c r="I39" s="67"/>
    </row>
    <row r="40" spans="1:9">
      <c r="A40" s="67" t="s">
        <v>80</v>
      </c>
      <c r="B40" s="64"/>
      <c r="C40" s="64">
        <v>23.257000000000001</v>
      </c>
      <c r="D40" s="64">
        <v>-5.08</v>
      </c>
      <c r="E40" s="64">
        <v>54.128</v>
      </c>
      <c r="F40" s="64">
        <v>187.83799999999999</v>
      </c>
      <c r="G40" s="64">
        <v>-80.087000000000003</v>
      </c>
      <c r="H40" s="64">
        <v>31.692</v>
      </c>
      <c r="I40" s="67"/>
    </row>
    <row r="41" spans="1:9">
      <c r="A41" s="67" t="s">
        <v>79</v>
      </c>
      <c r="B41" s="64"/>
      <c r="C41" s="64">
        <v>546.47699999999998</v>
      </c>
      <c r="D41" s="64">
        <v>551.55799999999999</v>
      </c>
      <c r="E41" s="64">
        <v>497.43</v>
      </c>
      <c r="F41" s="64">
        <v>309.59199999999998</v>
      </c>
      <c r="G41" s="64">
        <v>389.67899999999997</v>
      </c>
      <c r="H41" s="64">
        <v>357.98700000000002</v>
      </c>
      <c r="I41" s="67"/>
    </row>
    <row r="42" spans="1:9">
      <c r="A42" s="67" t="s">
        <v>78</v>
      </c>
      <c r="B42" s="64"/>
      <c r="C42" s="64">
        <v>569.73400000000004</v>
      </c>
      <c r="D42" s="64">
        <v>546.47699999999998</v>
      </c>
      <c r="E42" s="64">
        <v>551.55799999999999</v>
      </c>
      <c r="F42" s="64">
        <v>497.43</v>
      </c>
      <c r="G42" s="64">
        <v>309.59199999999998</v>
      </c>
      <c r="H42" s="64">
        <v>389.67899999999997</v>
      </c>
      <c r="I42" s="67"/>
    </row>
    <row r="43" spans="1:9">
      <c r="A43" s="67" t="s">
        <v>77</v>
      </c>
      <c r="B43" s="64"/>
      <c r="C43" s="64">
        <v>126</v>
      </c>
      <c r="D43" s="64">
        <v>144.1</v>
      </c>
      <c r="E43" s="64">
        <v>138</v>
      </c>
      <c r="F43" s="64">
        <v>128.80000000000001</v>
      </c>
      <c r="G43" s="64">
        <v>97.1</v>
      </c>
      <c r="H43" s="64">
        <v>63.350999999999999</v>
      </c>
      <c r="I43" s="67"/>
    </row>
    <row r="46" spans="1:9" ht="13">
      <c r="A46" s="75" t="s">
        <v>76</v>
      </c>
      <c r="B46" s="66">
        <v>2018</v>
      </c>
      <c r="C46" s="66">
        <v>2017</v>
      </c>
      <c r="D46" s="66">
        <v>2016</v>
      </c>
      <c r="E46" s="66">
        <v>2015</v>
      </c>
      <c r="F46" s="66">
        <v>2014</v>
      </c>
      <c r="G46" s="66">
        <v>2013</v>
      </c>
      <c r="H46" s="66">
        <v>2012</v>
      </c>
    </row>
    <row r="47" spans="1:9">
      <c r="A47" s="75" t="s">
        <v>75</v>
      </c>
      <c r="B47" s="62">
        <f t="shared" ref="B47:H47" si="0">B8</f>
        <v>102.2</v>
      </c>
      <c r="C47" s="62">
        <f t="shared" si="0"/>
        <v>99.570999999999998</v>
      </c>
      <c r="D47" s="62">
        <f t="shared" si="0"/>
        <v>88.587000000000003</v>
      </c>
      <c r="E47" s="62">
        <f t="shared" si="0"/>
        <v>80.599000000000004</v>
      </c>
      <c r="F47" s="62">
        <f t="shared" si="0"/>
        <v>77.376000000000005</v>
      </c>
      <c r="G47" s="62">
        <f t="shared" si="0"/>
        <v>62.853999999999999</v>
      </c>
      <c r="H47" s="62">
        <f t="shared" si="0"/>
        <v>50.18</v>
      </c>
    </row>
    <row r="48" spans="1:9">
      <c r="A48" s="75" t="s">
        <v>41</v>
      </c>
      <c r="B48" s="62">
        <f t="shared" ref="B48:H48" si="1">B26</f>
        <v>-85.99</v>
      </c>
      <c r="C48" s="62">
        <f t="shared" si="1"/>
        <v>-104.041</v>
      </c>
      <c r="D48" s="62">
        <f t="shared" si="1"/>
        <v>-120.956</v>
      </c>
      <c r="E48" s="62">
        <f t="shared" si="1"/>
        <v>-97.941999999999993</v>
      </c>
      <c r="F48" s="62">
        <f t="shared" si="1"/>
        <v>-72.519000000000005</v>
      </c>
      <c r="G48" s="62">
        <f t="shared" si="1"/>
        <v>-55.38</v>
      </c>
      <c r="H48" s="62">
        <f t="shared" si="1"/>
        <v>-117.474</v>
      </c>
    </row>
  </sheetData>
  <printOptions gridLines="1" gridLinesSet="0"/>
  <pageMargins left="0.75" right="0.75" top="1" bottom="1" header="0.5" footer="0.5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47"/>
  <sheetViews>
    <sheetView topLeftCell="A2" zoomScale="160" zoomScaleNormal="160" workbookViewId="0">
      <selection activeCell="A2" sqref="A2"/>
    </sheetView>
  </sheetViews>
  <sheetFormatPr defaultColWidth="9.1796875" defaultRowHeight="12.5"/>
  <cols>
    <col min="1" max="1" width="50.7265625" style="61" customWidth="1"/>
    <col min="2" max="2" width="14.81640625" style="61" customWidth="1"/>
    <col min="3" max="3" width="16.7265625" style="61" customWidth="1"/>
    <col min="4" max="199" width="12.7265625" style="61" customWidth="1"/>
    <col min="200" max="16384" width="9.1796875" style="61"/>
  </cols>
  <sheetData>
    <row r="1" spans="1:9" ht="20">
      <c r="A1" s="74" t="s">
        <v>74</v>
      </c>
      <c r="B1" s="74"/>
      <c r="C1" s="74"/>
    </row>
    <row r="2" spans="1:9" ht="13">
      <c r="A2" s="73" t="s">
        <v>73</v>
      </c>
      <c r="B2" s="73"/>
      <c r="C2" s="73"/>
    </row>
    <row r="6" spans="1:9" ht="13">
      <c r="A6" s="72"/>
      <c r="B6" s="72"/>
      <c r="C6" s="72"/>
      <c r="D6" s="71" t="s">
        <v>72</v>
      </c>
      <c r="E6" s="71"/>
      <c r="F6" s="71"/>
      <c r="G6" s="71"/>
      <c r="H6" s="71"/>
    </row>
    <row r="7" spans="1:9" ht="13">
      <c r="A7" s="70"/>
      <c r="B7" s="66">
        <v>2018</v>
      </c>
      <c r="C7" s="66">
        <v>2017</v>
      </c>
      <c r="D7" s="66">
        <v>2016</v>
      </c>
      <c r="E7" s="66">
        <v>2015</v>
      </c>
      <c r="F7" s="66">
        <v>2014</v>
      </c>
      <c r="G7" s="66">
        <v>2013</v>
      </c>
      <c r="H7" s="66">
        <v>2012</v>
      </c>
      <c r="I7" s="70"/>
    </row>
    <row r="8" spans="1:9">
      <c r="A8" s="67" t="s">
        <v>17</v>
      </c>
      <c r="B8" s="64">
        <v>217.02527799999999</v>
      </c>
      <c r="C8" s="64">
        <v>569.73400000000004</v>
      </c>
      <c r="D8" s="64">
        <v>546.47699999999998</v>
      </c>
      <c r="E8" s="64">
        <v>551.55799999999999</v>
      </c>
      <c r="F8" s="64">
        <v>497.43</v>
      </c>
      <c r="G8" s="64">
        <v>309.59199999999998</v>
      </c>
      <c r="H8" s="64">
        <v>389.67899999999997</v>
      </c>
      <c r="I8" s="67"/>
    </row>
    <row r="9" spans="1:9">
      <c r="A9" s="67" t="s">
        <v>16</v>
      </c>
      <c r="B9" s="64">
        <v>169.41299900000001</v>
      </c>
      <c r="C9" s="64">
        <v>152.53800000000001</v>
      </c>
      <c r="D9" s="64">
        <v>177.02099999999999</v>
      </c>
      <c r="E9" s="64">
        <v>4.5469999999999997</v>
      </c>
      <c r="F9" s="64">
        <v>0</v>
      </c>
      <c r="G9" s="64">
        <v>0</v>
      </c>
      <c r="H9" s="64">
        <v>60.802999999999997</v>
      </c>
      <c r="I9" s="67"/>
    </row>
    <row r="10" spans="1:9">
      <c r="A10" s="67" t="s">
        <v>102</v>
      </c>
      <c r="B10" s="64">
        <v>213.53779900000001</v>
      </c>
      <c r="C10" s="64">
        <v>231.12200000000001</v>
      </c>
      <c r="D10" s="64">
        <v>211.59200000000001</v>
      </c>
      <c r="E10" s="64">
        <v>195.96899999999999</v>
      </c>
      <c r="F10" s="64">
        <v>168.00899999999999</v>
      </c>
      <c r="G10" s="64">
        <v>143.047</v>
      </c>
      <c r="H10" s="64">
        <v>109.58</v>
      </c>
      <c r="I10" s="67"/>
    </row>
    <row r="11" spans="1:9">
      <c r="A11" s="67" t="s">
        <v>101</v>
      </c>
      <c r="B11" s="64">
        <v>225.281599</v>
      </c>
      <c r="C11" s="64">
        <v>216.76599999999999</v>
      </c>
      <c r="D11" s="64">
        <v>189.31100000000001</v>
      </c>
      <c r="E11" s="64">
        <v>174.69499999999999</v>
      </c>
      <c r="F11" s="64">
        <v>141.75800000000001</v>
      </c>
      <c r="G11" s="64">
        <v>120.074</v>
      </c>
      <c r="H11" s="64">
        <v>159.93</v>
      </c>
      <c r="I11" s="67"/>
    </row>
    <row r="12" spans="1:9">
      <c r="A12" s="67" t="s">
        <v>100</v>
      </c>
      <c r="B12" s="64">
        <v>25.672578999999999</v>
      </c>
      <c r="C12" s="64">
        <v>14.404</v>
      </c>
      <c r="D12" s="64">
        <v>30.588000000000001</v>
      </c>
      <c r="E12" s="64">
        <v>57.238999999999997</v>
      </c>
      <c r="F12" s="64">
        <v>49.441000000000003</v>
      </c>
      <c r="G12" s="64">
        <v>28.474</v>
      </c>
      <c r="H12" s="64">
        <v>24.672000000000001</v>
      </c>
      <c r="I12" s="67"/>
    </row>
    <row r="13" spans="1:9" ht="13">
      <c r="A13" s="69" t="s">
        <v>18</v>
      </c>
      <c r="B13" s="68">
        <v>850.93025399999999</v>
      </c>
      <c r="C13" s="68">
        <v>1184.5640000000001</v>
      </c>
      <c r="D13" s="68">
        <v>1154.989</v>
      </c>
      <c r="E13" s="68">
        <v>984.00900000000001</v>
      </c>
      <c r="F13" s="68">
        <v>856.63800000000003</v>
      </c>
      <c r="G13" s="68">
        <v>601.18600000000004</v>
      </c>
      <c r="H13" s="68">
        <v>744.66300000000001</v>
      </c>
      <c r="I13" s="67"/>
    </row>
    <row r="14" spans="1:9">
      <c r="A14" s="67"/>
      <c r="B14" s="64"/>
      <c r="C14" s="64"/>
      <c r="D14" s="64"/>
      <c r="E14" s="64"/>
      <c r="F14" s="64"/>
      <c r="G14" s="64"/>
      <c r="H14" s="64"/>
      <c r="I14" s="67"/>
    </row>
    <row r="15" spans="1:9" ht="13">
      <c r="A15" s="69" t="s">
        <v>130</v>
      </c>
      <c r="B15" s="68">
        <v>498.47376600000001</v>
      </c>
      <c r="C15" s="68">
        <v>492.47899999999998</v>
      </c>
      <c r="D15" s="68">
        <v>465.822</v>
      </c>
      <c r="E15" s="68">
        <v>412.72</v>
      </c>
      <c r="F15" s="68">
        <v>373.39100000000002</v>
      </c>
      <c r="G15" s="68">
        <v>357.02100000000002</v>
      </c>
      <c r="H15" s="68">
        <v>349.93799999999999</v>
      </c>
      <c r="I15" s="67"/>
    </row>
    <row r="16" spans="1:9">
      <c r="A16" s="67"/>
      <c r="B16" s="64"/>
      <c r="C16" s="64"/>
      <c r="D16" s="64"/>
      <c r="E16" s="64"/>
      <c r="F16" s="64"/>
      <c r="G16" s="64"/>
      <c r="H16" s="64"/>
      <c r="I16" s="67"/>
    </row>
    <row r="17" spans="1:9">
      <c r="A17" s="67" t="s">
        <v>129</v>
      </c>
      <c r="B17" s="64">
        <v>307.36584499999998</v>
      </c>
      <c r="C17" s="64">
        <v>307.36599999999999</v>
      </c>
      <c r="D17" s="64">
        <v>307.36599999999999</v>
      </c>
      <c r="E17" s="64">
        <v>307.36599999999999</v>
      </c>
      <c r="F17" s="64">
        <v>307.36599999999999</v>
      </c>
      <c r="G17" s="64">
        <v>307.36599999999999</v>
      </c>
      <c r="H17" s="64">
        <v>0</v>
      </c>
      <c r="I17" s="67"/>
    </row>
    <row r="18" spans="1:9">
      <c r="A18" s="67" t="s">
        <v>128</v>
      </c>
      <c r="B18" s="64">
        <v>137.97908200000001</v>
      </c>
      <c r="C18" s="64">
        <v>57.781999999999996</v>
      </c>
      <c r="D18" s="64">
        <v>49.893999999999998</v>
      </c>
      <c r="E18" s="64">
        <v>95.156999999999996</v>
      </c>
      <c r="F18" s="64">
        <v>114.643</v>
      </c>
      <c r="G18" s="64">
        <v>107.006</v>
      </c>
      <c r="H18" s="64">
        <v>141.834</v>
      </c>
      <c r="I18" s="67"/>
    </row>
    <row r="19" spans="1:9">
      <c r="A19" s="67" t="s">
        <v>127</v>
      </c>
      <c r="B19" s="64">
        <v>269.67500000000001</v>
      </c>
      <c r="C19" s="64">
        <v>288.97500000000002</v>
      </c>
      <c r="D19" s="64">
        <v>308.27499999999998</v>
      </c>
      <c r="E19" s="64">
        <v>327.57499999999999</v>
      </c>
      <c r="F19" s="64">
        <v>346.875</v>
      </c>
      <c r="G19" s="64">
        <v>366.17500000000001</v>
      </c>
      <c r="H19" s="64">
        <v>0</v>
      </c>
      <c r="I19" s="67"/>
    </row>
    <row r="20" spans="1:9">
      <c r="A20" s="67" t="s">
        <v>126</v>
      </c>
      <c r="B20" s="64">
        <v>21.010121000000002</v>
      </c>
      <c r="C20" s="64">
        <v>20.887</v>
      </c>
      <c r="D20" s="64">
        <v>23.273</v>
      </c>
      <c r="E20" s="64">
        <v>21.846</v>
      </c>
      <c r="F20" s="64">
        <v>23.628</v>
      </c>
      <c r="G20" s="64">
        <v>25.335000000000001</v>
      </c>
      <c r="H20" s="64">
        <v>29.256</v>
      </c>
      <c r="I20" s="67"/>
    </row>
    <row r="21" spans="1:9" ht="13">
      <c r="A21" s="69" t="s">
        <v>125</v>
      </c>
      <c r="B21" s="68">
        <v>736.03004799999997</v>
      </c>
      <c r="C21" s="68">
        <v>675.01099999999997</v>
      </c>
      <c r="D21" s="68">
        <v>688.80799999999999</v>
      </c>
      <c r="E21" s="68">
        <v>751.94399999999996</v>
      </c>
      <c r="F21" s="68">
        <v>792.51099999999997</v>
      </c>
      <c r="G21" s="68">
        <v>805.88099999999997</v>
      </c>
      <c r="H21" s="68">
        <v>171.09</v>
      </c>
      <c r="I21" s="67"/>
    </row>
    <row r="22" spans="1:9" ht="13">
      <c r="A22" s="67"/>
      <c r="B22" s="68"/>
      <c r="C22" s="68"/>
      <c r="D22" s="68"/>
      <c r="E22" s="68"/>
      <c r="F22" s="68"/>
      <c r="G22" s="68"/>
      <c r="H22" s="68"/>
      <c r="I22" s="67"/>
    </row>
    <row r="23" spans="1:9" ht="13">
      <c r="A23" s="69" t="s">
        <v>124</v>
      </c>
      <c r="B23" s="68">
        <v>2085.434068</v>
      </c>
      <c r="C23" s="68">
        <v>2352.0540000000001</v>
      </c>
      <c r="D23" s="68">
        <v>2309.62</v>
      </c>
      <c r="E23" s="68">
        <v>2148.6729999999998</v>
      </c>
      <c r="F23" s="68">
        <v>2022.54</v>
      </c>
      <c r="G23" s="68">
        <v>1764.088</v>
      </c>
      <c r="H23" s="68">
        <v>1265.691</v>
      </c>
      <c r="I23" s="67"/>
    </row>
    <row r="24" spans="1:9">
      <c r="A24" s="67"/>
      <c r="B24" s="64"/>
      <c r="C24" s="64"/>
      <c r="D24" s="64"/>
      <c r="E24" s="64"/>
      <c r="F24" s="64"/>
      <c r="G24" s="64"/>
      <c r="H24" s="64"/>
      <c r="I24" s="67"/>
    </row>
    <row r="25" spans="1:9">
      <c r="A25" s="67" t="s">
        <v>99</v>
      </c>
      <c r="B25" s="64">
        <v>92.810316</v>
      </c>
      <c r="C25" s="64">
        <v>89.897999999999996</v>
      </c>
      <c r="D25" s="64">
        <v>79.963999999999999</v>
      </c>
      <c r="E25" s="64">
        <v>66.353999999999999</v>
      </c>
      <c r="F25" s="64">
        <v>71.456999999999994</v>
      </c>
      <c r="G25" s="64">
        <v>56.51</v>
      </c>
      <c r="H25" s="64">
        <v>43.2</v>
      </c>
      <c r="I25" s="67"/>
    </row>
    <row r="26" spans="1:9">
      <c r="A26" s="67" t="s">
        <v>123</v>
      </c>
      <c r="B26" s="64">
        <v>15.860073</v>
      </c>
      <c r="C26" s="64">
        <v>18.501999999999999</v>
      </c>
      <c r="D26" s="64">
        <v>12.378</v>
      </c>
      <c r="E26" s="64">
        <v>9.3239999999999998</v>
      </c>
      <c r="F26" s="64">
        <v>8.9849999999999994</v>
      </c>
      <c r="G26" s="64">
        <v>7.7709999999999999</v>
      </c>
      <c r="H26" s="64">
        <v>7.1879999999999997</v>
      </c>
      <c r="I26" s="67"/>
    </row>
    <row r="27" spans="1:9">
      <c r="A27" s="67" t="s">
        <v>122</v>
      </c>
      <c r="B27" s="64">
        <v>4.2936079999999999</v>
      </c>
      <c r="C27" s="64">
        <v>0.36</v>
      </c>
      <c r="D27" s="64">
        <v>0.57299999999999995</v>
      </c>
      <c r="E27" s="64">
        <v>0.14799999999999999</v>
      </c>
      <c r="F27" s="64">
        <v>0.76800000000000002</v>
      </c>
      <c r="G27" s="64">
        <v>13.316000000000001</v>
      </c>
      <c r="H27" s="64">
        <v>1.583</v>
      </c>
      <c r="I27" s="67"/>
    </row>
    <row r="28" spans="1:9">
      <c r="A28" s="67" t="s">
        <v>121</v>
      </c>
      <c r="B28" s="64">
        <v>16.174040999999999</v>
      </c>
      <c r="C28" s="64">
        <v>14.661</v>
      </c>
      <c r="D28" s="64">
        <v>11.932</v>
      </c>
      <c r="E28" s="64">
        <v>10.372999999999999</v>
      </c>
      <c r="F28" s="64">
        <v>12.051</v>
      </c>
      <c r="G28" s="64">
        <v>9.3740000000000006</v>
      </c>
      <c r="H28" s="64">
        <v>9.89</v>
      </c>
      <c r="I28" s="67"/>
    </row>
    <row r="29" spans="1:9">
      <c r="A29" s="67" t="s">
        <v>120</v>
      </c>
      <c r="B29" s="64">
        <v>28.526147000000002</v>
      </c>
      <c r="C29" s="64">
        <v>28.027999999999999</v>
      </c>
      <c r="D29" s="64">
        <v>25.896000000000001</v>
      </c>
      <c r="E29" s="64">
        <v>24.759</v>
      </c>
      <c r="F29" s="64">
        <v>23.62</v>
      </c>
      <c r="G29" s="64">
        <v>20.381</v>
      </c>
      <c r="H29" s="64">
        <v>18.600000000000001</v>
      </c>
      <c r="I29" s="67"/>
    </row>
    <row r="30" spans="1:9">
      <c r="A30" s="67" t="s">
        <v>13</v>
      </c>
      <c r="B30" s="64">
        <v>0</v>
      </c>
      <c r="C30" s="64">
        <v>78</v>
      </c>
      <c r="D30" s="64">
        <v>7.5</v>
      </c>
      <c r="E30" s="64">
        <v>7.5</v>
      </c>
      <c r="F30" s="64">
        <v>7.5</v>
      </c>
      <c r="G30" s="64">
        <v>7.5</v>
      </c>
      <c r="H30" s="64">
        <v>0</v>
      </c>
      <c r="I30" s="67"/>
    </row>
    <row r="31" spans="1:9">
      <c r="A31" s="67" t="s">
        <v>119</v>
      </c>
      <c r="B31" s="64">
        <v>11.496734</v>
      </c>
      <c r="C31" s="64">
        <v>14.196999999999999</v>
      </c>
      <c r="D31" s="64">
        <v>11.615</v>
      </c>
      <c r="E31" s="64">
        <v>12.547000000000001</v>
      </c>
      <c r="F31" s="64">
        <v>9.0500000000000007</v>
      </c>
      <c r="G31" s="64">
        <v>5.1280000000000001</v>
      </c>
      <c r="H31" s="64">
        <v>7.4969999999999999</v>
      </c>
      <c r="I31" s="67"/>
    </row>
    <row r="32" spans="1:9" ht="13">
      <c r="A32" s="69" t="s">
        <v>14</v>
      </c>
      <c r="B32" s="68">
        <v>169.16091900000001</v>
      </c>
      <c r="C32" s="68">
        <v>243.64699999999999</v>
      </c>
      <c r="D32" s="68">
        <v>149.858</v>
      </c>
      <c r="E32" s="68">
        <v>131.00700000000001</v>
      </c>
      <c r="F32" s="68">
        <v>133.43100000000001</v>
      </c>
      <c r="G32" s="68">
        <v>119.98</v>
      </c>
      <c r="H32" s="68">
        <v>87.956999999999994</v>
      </c>
      <c r="I32" s="67"/>
    </row>
    <row r="33" spans="1:9">
      <c r="A33" s="67"/>
      <c r="B33" s="64"/>
      <c r="C33" s="64"/>
      <c r="D33" s="64"/>
      <c r="E33" s="64"/>
      <c r="F33" s="64"/>
      <c r="G33" s="64"/>
      <c r="H33" s="64"/>
      <c r="I33" s="67"/>
    </row>
    <row r="34" spans="1:9">
      <c r="A34" s="67" t="s">
        <v>118</v>
      </c>
      <c r="B34" s="64">
        <v>0</v>
      </c>
      <c r="C34" s="64">
        <v>0</v>
      </c>
      <c r="D34" s="64">
        <v>178.125</v>
      </c>
      <c r="E34" s="64">
        <v>225.625</v>
      </c>
      <c r="F34" s="64">
        <v>258.125</v>
      </c>
      <c r="G34" s="64">
        <v>265.625</v>
      </c>
      <c r="H34" s="64">
        <v>0</v>
      </c>
      <c r="I34" s="67"/>
    </row>
    <row r="35" spans="1:9">
      <c r="A35" s="67" t="s">
        <v>104</v>
      </c>
      <c r="B35" s="64">
        <v>54.521489000000003</v>
      </c>
      <c r="C35" s="64">
        <v>58.889000000000003</v>
      </c>
      <c r="D35" s="64">
        <v>71.212999999999994</v>
      </c>
      <c r="E35" s="64">
        <v>69.525000000000006</v>
      </c>
      <c r="F35" s="64">
        <v>59.570999999999998</v>
      </c>
      <c r="G35" s="64">
        <v>50.878999999999998</v>
      </c>
      <c r="H35" s="64">
        <v>56.773000000000003</v>
      </c>
      <c r="I35" s="67"/>
    </row>
    <row r="36" spans="1:9">
      <c r="A36" s="67"/>
      <c r="B36" s="64"/>
      <c r="C36" s="64"/>
      <c r="D36" s="64"/>
      <c r="E36" s="64"/>
      <c r="F36" s="64"/>
      <c r="G36" s="64"/>
      <c r="H36" s="64"/>
      <c r="I36" s="67"/>
    </row>
    <row r="37" spans="1:9" ht="13">
      <c r="A37" s="69" t="s">
        <v>117</v>
      </c>
      <c r="B37" s="68">
        <v>223.68240800000001</v>
      </c>
      <c r="C37" s="68">
        <v>302.536</v>
      </c>
      <c r="D37" s="68">
        <v>399.19600000000003</v>
      </c>
      <c r="E37" s="68">
        <v>426.15600000000001</v>
      </c>
      <c r="F37" s="68">
        <v>451.12799999999999</v>
      </c>
      <c r="G37" s="68">
        <v>436.48500000000001</v>
      </c>
      <c r="H37" s="68">
        <v>0</v>
      </c>
      <c r="I37" s="67"/>
    </row>
    <row r="38" spans="1:9">
      <c r="A38" s="67"/>
      <c r="B38" s="64"/>
      <c r="C38" s="64"/>
      <c r="D38" s="64"/>
      <c r="E38" s="64"/>
      <c r="F38" s="64"/>
      <c r="G38" s="64"/>
      <c r="H38" s="64"/>
      <c r="I38" s="67"/>
    </row>
    <row r="39" spans="1:9">
      <c r="A39" s="67" t="s">
        <v>116</v>
      </c>
      <c r="B39" s="64">
        <v>15.559716999999999</v>
      </c>
      <c r="C39" s="64">
        <v>16.817</v>
      </c>
      <c r="D39" s="64">
        <v>17.263999999999999</v>
      </c>
      <c r="E39" s="64">
        <v>17.48</v>
      </c>
      <c r="F39" s="64">
        <v>17.715</v>
      </c>
      <c r="G39" s="64">
        <v>8.7349999999999994</v>
      </c>
      <c r="H39" s="64">
        <v>8.5850000000000009</v>
      </c>
      <c r="I39" s="67"/>
    </row>
    <row r="40" spans="1:9">
      <c r="A40" s="67" t="s">
        <v>115</v>
      </c>
      <c r="B40" s="64">
        <v>745.32414400000005</v>
      </c>
      <c r="C40" s="64">
        <v>723.51099999999997</v>
      </c>
      <c r="D40" s="64">
        <v>683.44600000000003</v>
      </c>
      <c r="E40" s="64">
        <v>596.78300000000002</v>
      </c>
      <c r="F40" s="64">
        <v>553.83600000000001</v>
      </c>
      <c r="G40" s="64">
        <v>478.86599999999999</v>
      </c>
      <c r="H40" s="64">
        <v>418.76600000000002</v>
      </c>
      <c r="I40" s="67"/>
    </row>
    <row r="41" spans="1:9">
      <c r="A41" s="67" t="s">
        <v>114</v>
      </c>
      <c r="B41" s="64">
        <v>1102.4681370000001</v>
      </c>
      <c r="C41" s="64">
        <v>1301.9970000000001</v>
      </c>
      <c r="D41" s="64">
        <v>1210.9849999999999</v>
      </c>
      <c r="E41" s="64">
        <v>1109.385</v>
      </c>
      <c r="F41" s="64">
        <v>988.548</v>
      </c>
      <c r="G41" s="64">
        <v>818.02800000000002</v>
      </c>
      <c r="H41" s="64">
        <v>676.03899999999999</v>
      </c>
      <c r="I41" s="67"/>
    </row>
    <row r="42" spans="1:9">
      <c r="A42" s="67" t="s">
        <v>113</v>
      </c>
      <c r="B42" s="64">
        <v>7.4549000000000004E-2</v>
      </c>
      <c r="C42" s="64">
        <v>6.6260000000000003</v>
      </c>
      <c r="D42" s="64">
        <v>2.7890000000000001</v>
      </c>
      <c r="E42" s="64">
        <v>0.83</v>
      </c>
      <c r="F42" s="64">
        <v>10.868</v>
      </c>
      <c r="G42" s="64">
        <v>19.466999999999999</v>
      </c>
      <c r="H42" s="64">
        <v>15.112</v>
      </c>
      <c r="I42" s="67"/>
    </row>
    <row r="43" spans="1:9">
      <c r="A43" s="67" t="s">
        <v>112</v>
      </c>
      <c r="B43" s="64">
        <v>0</v>
      </c>
      <c r="C43" s="64">
        <v>-7.8E-2</v>
      </c>
      <c r="D43" s="64">
        <v>1.1970000000000001</v>
      </c>
      <c r="E43" s="64">
        <v>1.9159999999999999</v>
      </c>
      <c r="F43" s="64">
        <v>0.95899999999999996</v>
      </c>
      <c r="G43" s="64">
        <v>0</v>
      </c>
      <c r="H43" s="64">
        <v>0</v>
      </c>
      <c r="I43" s="67"/>
    </row>
    <row r="44" spans="1:9">
      <c r="A44" s="67" t="s">
        <v>111</v>
      </c>
      <c r="B44" s="64">
        <v>-1.674887</v>
      </c>
      <c r="C44" s="64">
        <v>0.64500000000000002</v>
      </c>
      <c r="D44" s="64">
        <v>2.863</v>
      </c>
      <c r="E44" s="64">
        <v>4.4999999999999998E-2</v>
      </c>
      <c r="F44" s="64">
        <v>1.4039999999999999</v>
      </c>
      <c r="G44" s="64">
        <v>2.508</v>
      </c>
      <c r="H44" s="64">
        <v>2.4590000000000001</v>
      </c>
      <c r="I44" s="67"/>
    </row>
    <row r="45" spans="1:9" ht="13">
      <c r="A45" s="69" t="s">
        <v>110</v>
      </c>
      <c r="B45" s="68">
        <v>1861.7516599999999</v>
      </c>
      <c r="C45" s="68">
        <v>2049.518</v>
      </c>
      <c r="D45" s="68">
        <v>1910.424</v>
      </c>
      <c r="E45" s="68">
        <v>1722.5170000000001</v>
      </c>
      <c r="F45" s="68">
        <v>1571.412</v>
      </c>
      <c r="G45" s="68">
        <v>1327.604</v>
      </c>
      <c r="H45" s="68">
        <v>1120.961</v>
      </c>
      <c r="I45" s="67"/>
    </row>
    <row r="47" spans="1:9" ht="13">
      <c r="A47" s="79" t="s">
        <v>131</v>
      </c>
      <c r="B47" s="80">
        <f>B45+B37</f>
        <v>2085.434068</v>
      </c>
      <c r="C47" s="80">
        <f t="shared" ref="C47:H47" si="0">C45+C37</f>
        <v>2352.0540000000001</v>
      </c>
      <c r="D47" s="80">
        <f t="shared" si="0"/>
        <v>2309.62</v>
      </c>
      <c r="E47" s="80">
        <f t="shared" si="0"/>
        <v>2148.6730000000002</v>
      </c>
      <c r="F47" s="80">
        <f t="shared" si="0"/>
        <v>2022.54</v>
      </c>
      <c r="G47" s="80">
        <f t="shared" si="0"/>
        <v>1764.0889999999999</v>
      </c>
      <c r="H47" s="80">
        <f t="shared" si="0"/>
        <v>1120.961</v>
      </c>
    </row>
  </sheetData>
  <printOptions gridLines="1" gridLinesSet="0"/>
  <pageMargins left="0.75" right="0.75" top="1" bottom="1" header="0.5" footer="0.5"/>
  <pageSetup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GNTX_DCF</vt:lpstr>
      <vt:lpstr>Option_Value</vt:lpstr>
      <vt:lpstr>GNTX_IS</vt:lpstr>
      <vt:lpstr>GNTX_CF</vt:lpstr>
      <vt:lpstr>GNTX_BS</vt:lpstr>
    </vt:vector>
  </TitlesOfParts>
  <Company>Loyola Marymount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Moore</dc:creator>
  <cp:lastModifiedBy>David Moore</cp:lastModifiedBy>
  <dcterms:created xsi:type="dcterms:W3CDTF">2019-02-12T17:30:01Z</dcterms:created>
  <dcterms:modified xsi:type="dcterms:W3CDTF">2020-02-27T01:00:49Z</dcterms:modified>
</cp:coreProperties>
</file>