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4\Gentex\"/>
    </mc:Choice>
  </mc:AlternateContent>
  <xr:revisionPtr revIDLastSave="0" documentId="13_ncr:1_{5C1039A8-06E6-4D8A-BFD7-C1BEA2D70818}" xr6:coauthVersionLast="45" xr6:coauthVersionMax="45" xr10:uidLastSave="{00000000-0000-0000-0000-000000000000}"/>
  <bookViews>
    <workbookView xWindow="-80" yWindow="-80" windowWidth="19360" windowHeight="10360" xr2:uid="{00000000-000D-0000-FFFF-FFFF00000000}"/>
  </bookViews>
  <sheets>
    <sheet name="GNTX_DCF" sheetId="1" r:id="rId1"/>
    <sheet name="Regression_Beta" sheetId="5" r:id="rId2"/>
    <sheet name="GNTX_IS" sheetId="2" r:id="rId3"/>
    <sheet name="GNTX_CF" sheetId="3" r:id="rId4"/>
    <sheet name="GNTX_BS" sheetId="4" r:id="rId5"/>
  </sheets>
  <externalReferences>
    <externalReference r:id="rId6"/>
    <externalReference r:id="rId7"/>
  </externalReferences>
  <definedNames>
    <definedName name="_xlnm._FilterDatabase" localSheetId="0" hidden="1">GNTX_DCF!#REF!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1" l="1"/>
  <c r="N27" i="1" s="1"/>
  <c r="O27" i="1" s="1"/>
  <c r="M28" i="1"/>
  <c r="N28" i="1" s="1"/>
  <c r="O28" i="1" s="1"/>
  <c r="M29" i="1"/>
  <c r="N29" i="1"/>
  <c r="O29" i="1" s="1"/>
  <c r="M30" i="1"/>
  <c r="N30" i="1"/>
  <c r="O30" i="1"/>
  <c r="M31" i="1"/>
  <c r="N31" i="1" s="1"/>
  <c r="O31" i="1" s="1"/>
  <c r="M32" i="1"/>
  <c r="N32" i="1" s="1"/>
  <c r="O32" i="1" s="1"/>
  <c r="L28" i="1"/>
  <c r="L29" i="1"/>
  <c r="L30" i="1"/>
  <c r="L31" i="1"/>
  <c r="L32" i="1"/>
  <c r="L27" i="1"/>
  <c r="R32" i="1"/>
  <c r="R31" i="1"/>
  <c r="R30" i="1"/>
  <c r="R29" i="1"/>
  <c r="R28" i="1"/>
  <c r="R27" i="1"/>
  <c r="F122" i="1" l="1"/>
  <c r="K122" i="1"/>
  <c r="K123" i="1" s="1"/>
  <c r="F124" i="1"/>
  <c r="F125" i="1"/>
  <c r="F126" i="1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E3" i="5"/>
  <c r="I1" i="5" s="1"/>
  <c r="D3" i="5"/>
  <c r="G7" i="1"/>
  <c r="H7" i="1"/>
  <c r="I7" i="1"/>
  <c r="I12" i="1" s="1"/>
  <c r="I29" i="1" s="1"/>
  <c r="J7" i="1"/>
  <c r="J8" i="1" s="1"/>
  <c r="F58" i="1"/>
  <c r="G58" i="1"/>
  <c r="H58" i="1"/>
  <c r="H59" i="1" s="1"/>
  <c r="I58" i="1"/>
  <c r="J58" i="1" s="1"/>
  <c r="L74" i="1"/>
  <c r="M74" i="1"/>
  <c r="J13" i="1"/>
  <c r="I59" i="1"/>
  <c r="I64" i="1"/>
  <c r="I8" i="1"/>
  <c r="I9" i="1"/>
  <c r="I28" i="1" s="1"/>
  <c r="I13" i="1"/>
  <c r="I19" i="1"/>
  <c r="I31" i="1" s="1"/>
  <c r="H61" i="1"/>
  <c r="H8" i="1"/>
  <c r="H10" i="1" s="1"/>
  <c r="H9" i="1"/>
  <c r="H12" i="1"/>
  <c r="H14" i="1" s="1"/>
  <c r="H13" i="1"/>
  <c r="H19" i="1"/>
  <c r="G59" i="1"/>
  <c r="G62" i="1" s="1"/>
  <c r="G68" i="1" s="1"/>
  <c r="G60" i="1"/>
  <c r="G61" i="1"/>
  <c r="G64" i="1"/>
  <c r="G66" i="1" s="1"/>
  <c r="G65" i="1"/>
  <c r="G8" i="1"/>
  <c r="G9" i="1"/>
  <c r="G12" i="1"/>
  <c r="G29" i="1" s="1"/>
  <c r="G13" i="1"/>
  <c r="G18" i="1"/>
  <c r="F59" i="1"/>
  <c r="F60" i="1"/>
  <c r="F61" i="1"/>
  <c r="F64" i="1"/>
  <c r="F65" i="1"/>
  <c r="F66" i="1"/>
  <c r="F8" i="1"/>
  <c r="C47" i="4"/>
  <c r="D47" i="4"/>
  <c r="E47" i="4"/>
  <c r="F47" i="4"/>
  <c r="G47" i="4"/>
  <c r="H47" i="4"/>
  <c r="B47" i="4"/>
  <c r="B48" i="3"/>
  <c r="B47" i="3"/>
  <c r="F18" i="1"/>
  <c r="F13" i="1"/>
  <c r="F30" i="1" s="1"/>
  <c r="F12" i="1"/>
  <c r="F9" i="1"/>
  <c r="F28" i="1" s="1"/>
  <c r="C47" i="3"/>
  <c r="I18" i="1" s="1"/>
  <c r="D47" i="3"/>
  <c r="H18" i="1" s="1"/>
  <c r="H32" i="1" s="1"/>
  <c r="E47" i="3"/>
  <c r="F47" i="3"/>
  <c r="G47" i="3"/>
  <c r="H47" i="3"/>
  <c r="C48" i="3"/>
  <c r="D48" i="3"/>
  <c r="E48" i="3"/>
  <c r="G19" i="1" s="1"/>
  <c r="F48" i="3"/>
  <c r="F19" i="1" s="1"/>
  <c r="F31" i="1" s="1"/>
  <c r="G48" i="3"/>
  <c r="H48" i="3"/>
  <c r="F25" i="1"/>
  <c r="G25" i="1"/>
  <c r="H25" i="1" s="1"/>
  <c r="I25" i="1" s="1"/>
  <c r="J25" i="1"/>
  <c r="K25" i="1" s="1"/>
  <c r="L25" i="1" s="1"/>
  <c r="M25" i="1" s="1"/>
  <c r="N25" i="1" s="1"/>
  <c r="O25" i="1" s="1"/>
  <c r="I30" i="1"/>
  <c r="F73" i="1"/>
  <c r="G73" i="1"/>
  <c r="H73" i="1" s="1"/>
  <c r="I73" i="1" s="1"/>
  <c r="J73" i="1"/>
  <c r="K73" i="1"/>
  <c r="L73" i="1" s="1"/>
  <c r="M73" i="1" s="1"/>
  <c r="N73" i="1" s="1"/>
  <c r="O73" i="1" s="1"/>
  <c r="F29" i="1"/>
  <c r="G27" i="1"/>
  <c r="H28" i="1"/>
  <c r="H29" i="1"/>
  <c r="H30" i="1"/>
  <c r="K7" i="1"/>
  <c r="L7" i="1"/>
  <c r="M7" i="1" s="1"/>
  <c r="N7" i="1" s="1"/>
  <c r="O7" i="1" s="1"/>
  <c r="J30" i="1"/>
  <c r="H33" i="1"/>
  <c r="G31" i="1" l="1"/>
  <c r="I32" i="1"/>
  <c r="G28" i="1"/>
  <c r="H31" i="1"/>
  <c r="I27" i="1"/>
  <c r="F62" i="1"/>
  <c r="F68" i="1" s="1"/>
  <c r="F74" i="1" s="1"/>
  <c r="G30" i="1"/>
  <c r="I10" i="1"/>
  <c r="I14" i="1" s="1"/>
  <c r="I15" i="1" s="1"/>
  <c r="G74" i="1"/>
  <c r="F32" i="1"/>
  <c r="G32" i="1"/>
  <c r="G10" i="1"/>
  <c r="I66" i="1"/>
  <c r="J59" i="1"/>
  <c r="J64" i="1"/>
  <c r="J60" i="1"/>
  <c r="J65" i="1"/>
  <c r="K58" i="1"/>
  <c r="L58" i="1" s="1"/>
  <c r="M58" i="1" s="1"/>
  <c r="N58" i="1" s="1"/>
  <c r="O58" i="1" s="1"/>
  <c r="J61" i="1"/>
  <c r="K8" i="1"/>
  <c r="K124" i="1"/>
  <c r="J27" i="1"/>
  <c r="H27" i="1"/>
  <c r="F10" i="1"/>
  <c r="H15" i="1"/>
  <c r="H16" i="1"/>
  <c r="J12" i="1"/>
  <c r="J29" i="1" s="1"/>
  <c r="J19" i="1"/>
  <c r="J31" i="1" s="1"/>
  <c r="H65" i="1"/>
  <c r="H60" i="1"/>
  <c r="H62" i="1" s="1"/>
  <c r="I61" i="1"/>
  <c r="N74" i="1"/>
  <c r="J18" i="1"/>
  <c r="H64" i="1"/>
  <c r="H66" i="1" s="1"/>
  <c r="I65" i="1"/>
  <c r="I60" i="1"/>
  <c r="J9" i="1"/>
  <c r="J28" i="1" s="1"/>
  <c r="I62" i="1" l="1"/>
  <c r="I68" i="1" s="1"/>
  <c r="H68" i="1"/>
  <c r="H69" i="1" s="1"/>
  <c r="H20" i="1" s="1"/>
  <c r="H21" i="1" s="1"/>
  <c r="I33" i="1"/>
  <c r="J66" i="1"/>
  <c r="I16" i="1"/>
  <c r="J32" i="1"/>
  <c r="G69" i="1"/>
  <c r="G20" i="1" s="1"/>
  <c r="H74" i="1"/>
  <c r="I69" i="1"/>
  <c r="I20" i="1" s="1"/>
  <c r="I74" i="1"/>
  <c r="F33" i="1"/>
  <c r="F14" i="1"/>
  <c r="K125" i="1"/>
  <c r="L8" i="1"/>
  <c r="K12" i="1"/>
  <c r="K13" i="1"/>
  <c r="K19" i="1"/>
  <c r="K18" i="1" s="1"/>
  <c r="K9" i="1"/>
  <c r="K10" i="1" s="1"/>
  <c r="K68" i="1"/>
  <c r="J62" i="1"/>
  <c r="I21" i="1"/>
  <c r="O74" i="1"/>
  <c r="J10" i="1"/>
  <c r="G14" i="1"/>
  <c r="G33" i="1"/>
  <c r="J68" i="1" l="1"/>
  <c r="K14" i="1"/>
  <c r="K15" i="1" s="1"/>
  <c r="K33" i="1"/>
  <c r="M8" i="1"/>
  <c r="L12" i="1"/>
  <c r="L68" i="1"/>
  <c r="L69" i="1" s="1"/>
  <c r="L20" i="1" s="1"/>
  <c r="L13" i="1"/>
  <c r="L19" i="1"/>
  <c r="L18" i="1" s="1"/>
  <c r="L9" i="1"/>
  <c r="L10" i="1" s="1"/>
  <c r="K69" i="1"/>
  <c r="K20" i="1" s="1"/>
  <c r="G15" i="1"/>
  <c r="G16" i="1"/>
  <c r="G21" i="1" s="1"/>
  <c r="F15" i="1"/>
  <c r="F16" i="1"/>
  <c r="J14" i="1"/>
  <c r="J33" i="1"/>
  <c r="J69" i="1"/>
  <c r="J20" i="1" s="1"/>
  <c r="J74" i="1"/>
  <c r="K126" i="1"/>
  <c r="N8" i="1" l="1"/>
  <c r="M19" i="1"/>
  <c r="M18" i="1" s="1"/>
  <c r="M13" i="1"/>
  <c r="M9" i="1"/>
  <c r="M10" i="1" s="1"/>
  <c r="M68" i="1"/>
  <c r="M69" i="1" s="1"/>
  <c r="M20" i="1" s="1"/>
  <c r="M12" i="1"/>
  <c r="J15" i="1"/>
  <c r="J16" i="1"/>
  <c r="J21" i="1" s="1"/>
  <c r="L14" i="1"/>
  <c r="L15" i="1" s="1"/>
  <c r="L33" i="1"/>
  <c r="K16" i="1"/>
  <c r="K21" i="1" s="1"/>
  <c r="M14" i="1" l="1"/>
  <c r="M15" i="1" s="1"/>
  <c r="M33" i="1"/>
  <c r="L16" i="1"/>
  <c r="L21" i="1" s="1"/>
  <c r="O8" i="1"/>
  <c r="N19" i="1"/>
  <c r="N18" i="1" s="1"/>
  <c r="N12" i="1"/>
  <c r="N13" i="1"/>
  <c r="N68" i="1"/>
  <c r="N69" i="1" s="1"/>
  <c r="N20" i="1" s="1"/>
  <c r="N9" i="1"/>
  <c r="N10" i="1" s="1"/>
  <c r="N14" i="1" l="1"/>
  <c r="N15" i="1" s="1"/>
  <c r="N33" i="1"/>
  <c r="N42" i="1"/>
  <c r="O19" i="1"/>
  <c r="O18" i="1" s="1"/>
  <c r="O12" i="1"/>
  <c r="O13" i="1"/>
  <c r="O9" i="1"/>
  <c r="O10" i="1" s="1"/>
  <c r="O68" i="1"/>
  <c r="O69" i="1" s="1"/>
  <c r="O20" i="1" s="1"/>
  <c r="M16" i="1"/>
  <c r="M21" i="1" s="1"/>
  <c r="O14" i="1" l="1"/>
  <c r="O15" i="1" s="1"/>
  <c r="O33" i="1"/>
  <c r="N16" i="1"/>
  <c r="N21" i="1" s="1"/>
  <c r="O16" i="1" l="1"/>
  <c r="O21" i="1" s="1"/>
  <c r="I39" i="1" s="1"/>
  <c r="I41" i="1" s="1"/>
  <c r="I43" i="1" s="1"/>
  <c r="N39" i="1"/>
  <c r="N41" i="1" s="1"/>
  <c r="N43" i="1" s="1"/>
</calcChain>
</file>

<file path=xl/sharedStrings.xml><?xml version="1.0" encoding="utf-8"?>
<sst xmlns="http://schemas.openxmlformats.org/spreadsheetml/2006/main" count="247" uniqueCount="194">
  <si>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</si>
  <si>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</si>
  <si>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</si>
  <si>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</si>
  <si>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</si>
  <si>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</si>
  <si>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</si>
  <si>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</si>
  <si>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</si>
  <si>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</si>
  <si>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</si>
  <si>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</si>
  <si>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</si>
  <si>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</si>
  <si>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</si>
  <si>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</si>
  <si>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</si>
  <si>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</si>
  <si>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</si>
  <si>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</si>
  <si>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</si>
  <si>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</si>
  <si>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</si>
  <si>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</si>
  <si>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</si>
  <si>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</si>
  <si>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</si>
  <si>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</si>
  <si>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</si>
  <si>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</si>
  <si>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</si>
  <si>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</si>
  <si>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</si>
  <si>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</si>
  <si>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</si>
  <si>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</si>
  <si>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</si>
  <si>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</si>
  <si>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</si>
  <si>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</si>
  <si>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</si>
  <si>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</si>
  <si>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</si>
  <si>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</si>
  <si>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</si>
  <si>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</si>
  <si>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</si>
  <si>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</si>
  <si>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</si>
  <si>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</si>
  <si>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</si>
  <si>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</si>
  <si>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</si>
  <si>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</si>
  <si>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</si>
  <si>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</si>
  <si>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</si>
  <si>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</si>
  <si>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</si>
  <si>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</si>
  <si>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</si>
  <si>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</si>
  <si>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</si>
  <si>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</si>
  <si>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</si>
  <si>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</si>
  <si>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</si>
  <si>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</si>
  <si>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</si>
  <si>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</si>
  <si>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</si>
  <si>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</si>
  <si>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</si>
  <si>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</si>
  <si>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</si>
  <si>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</si>
  <si>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</si>
  <si>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</si>
  <si>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</si>
  <si>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</si>
  <si>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</si>
  <si>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</si>
  <si>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</si>
  <si>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</si>
  <si>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</si>
  <si>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</si>
  <si>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</si>
  <si>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</si>
  <si>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</si>
  <si>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</si>
  <si>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</si>
  <si>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</si>
  <si>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</si>
  <si>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</si>
  <si>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</si>
  <si>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</si>
  <si>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</si>
  <si>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</si>
  <si>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</si>
  <si>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</si>
  <si>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</si>
  <si>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</si>
  <si>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</si>
  <si>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</si>
  <si>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</si>
  <si>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</si>
  <si>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</si>
  <si>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</si>
  <si>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</si>
  <si>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</si>
  <si>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</si>
  <si>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</si>
  <si>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</si>
  <si>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</si>
  <si>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</si>
  <si>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</si>
  <si>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</si>
  <si>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</si>
  <si>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</si>
  <si>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</si>
  <si>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</si>
  <si>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</si>
  <si>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</si>
  <si>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</si>
  <si>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</si>
  <si>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</si>
  <si>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</si>
  <si>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</si>
  <si>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</si>
  <si>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</si>
  <si>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</si>
  <si>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TOTAL LIABILITES AND SHAREHOLDERS' INVESTMENT</t>
  </si>
  <si>
    <t>DILUTED SHARES</t>
  </si>
  <si>
    <t>Basic share count</t>
  </si>
  <si>
    <t>Exercisable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</si>
  <si>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</si>
  <si>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</si>
  <si>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</si>
  <si>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</si>
  <si>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</si>
  <si>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</si>
  <si>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</si>
  <si>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</si>
  <si>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Terminal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</si>
  <si>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</si>
  <si>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</si>
  <si>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</si>
  <si>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</si>
  <si>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</si>
  <si>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</si>
  <si>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</si>
  <si>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</si>
  <si>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</si>
  <si>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</si>
  <si>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</si>
  <si>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</si>
  <si>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</si>
  <si>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</si>
  <si>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</si>
  <si>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</si>
  <si>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</si>
  <si>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</si>
  <si>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</si>
  <si>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</si>
  <si>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</si>
  <si>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</si>
  <si>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</si>
  <si>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</si>
  <si>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</si>
  <si>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Visteon Corporation</t>
  </si>
  <si>
    <t>VC</t>
  </si>
  <si>
    <t>Gentherm Incorporated</t>
  </si>
  <si>
    <t>THRM</t>
  </si>
  <si>
    <t>BorgWarner Inc.</t>
  </si>
  <si>
    <t>BWA</t>
  </si>
  <si>
    <t>American Axle &amp; Manufacturing</t>
  </si>
  <si>
    <t>AXL</t>
  </si>
  <si>
    <t>Dana Incorporated</t>
  </si>
  <si>
    <t>DAN</t>
  </si>
  <si>
    <t>Lear Corporation</t>
  </si>
  <si>
    <t>LEA</t>
  </si>
  <si>
    <t>Average unlevered beta</t>
  </si>
  <si>
    <t>GNTX Debt/Equity ratio</t>
  </si>
  <si>
    <t>GNTX Tax Rate</t>
  </si>
  <si>
    <t>GNTX Levered Beta</t>
  </si>
  <si>
    <t>x</t>
  </si>
  <si>
    <t>Date</t>
  </si>
  <si>
    <t>GNTX_Close</t>
  </si>
  <si>
    <t>SP500_Close</t>
  </si>
  <si>
    <t>GNTX_Returns</t>
  </si>
  <si>
    <t>SP500_Returns</t>
  </si>
  <si>
    <t>Regression beta</t>
  </si>
  <si>
    <t>Average unlevered beta (Full industry)</t>
  </si>
  <si>
    <t>Shares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</si>
</sst>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_);\(0.00\)"/>
    <numFmt numFmtId="171" formatCode="[$-409]d\-mmm\-yy;@"/>
    <numFmt numFmtId="172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 applyFill="0"/>
    <xf numFmtId="0" fontId="2" fillId="0" borderId="0"/>
    <xf numFmtId="0" fontId="1" fillId="0" borderId="0"/>
    <xf numFmtId="0" fontId="14" fillId="0" borderId="0" applyFill="0"/>
    <xf numFmtId="9" fontId="20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/>
    <xf numFmtId="166" fontId="3" fillId="0" borderId="0" xfId="1" applyNumberFormat="1" applyFont="1"/>
    <xf numFmtId="166" fontId="6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164" fontId="3" fillId="0" borderId="5" xfId="1" applyNumberFormat="1" applyFont="1" applyBorder="1"/>
    <xf numFmtId="0" fontId="6" fillId="0" borderId="0" xfId="1" applyFont="1" applyBorder="1"/>
    <xf numFmtId="166" fontId="11" fillId="0" borderId="5" xfId="1" applyNumberFormat="1" applyFont="1" applyBorder="1"/>
    <xf numFmtId="166" fontId="11" fillId="0" borderId="0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6" fontId="8" fillId="0" borderId="8" xfId="1" applyNumberFormat="1" applyFont="1" applyBorder="1"/>
    <xf numFmtId="166" fontId="8" fillId="0" borderId="7" xfId="1" applyNumberFormat="1" applyFont="1" applyBorder="1"/>
    <xf numFmtId="9" fontId="7" fillId="0" borderId="0" xfId="1" applyNumberFormat="1" applyFont="1" applyBorder="1"/>
    <xf numFmtId="166" fontId="4" fillId="0" borderId="8" xfId="1" applyNumberFormat="1" applyFont="1" applyBorder="1"/>
    <xf numFmtId="166" fontId="4" fillId="0" borderId="7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6" fontId="4" fillId="0" borderId="5" xfId="1" applyNumberFormat="1" applyFont="1" applyBorder="1"/>
    <xf numFmtId="166" fontId="4" fillId="0" borderId="0" xfId="1" applyNumberFormat="1" applyFont="1"/>
    <xf numFmtId="164" fontId="3" fillId="0" borderId="0" xfId="1" applyNumberFormat="1" applyFont="1" applyBorder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0" fillId="0" borderId="0" xfId="0" applyFill="1"/>
    <xf numFmtId="166" fontId="0" fillId="0" borderId="0" xfId="0" applyNumberFormat="1" applyFill="1"/>
    <xf numFmtId="0" fontId="13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4" fillId="0" borderId="0" xfId="0" applyFont="1" applyFill="1"/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5" fillId="0" borderId="0" xfId="0" applyFont="1" applyFill="1"/>
    <xf numFmtId="166" fontId="15" fillId="0" borderId="0" xfId="0" applyNumberFormat="1" applyFont="1" applyFill="1"/>
    <xf numFmtId="0" fontId="0" fillId="0" borderId="0" xfId="0" applyFill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3" fillId="0" borderId="0" xfId="2" applyFont="1" applyBorder="1"/>
    <xf numFmtId="0" fontId="3" fillId="0" borderId="8" xfId="2" applyFont="1" applyBorder="1"/>
    <xf numFmtId="0" fontId="6" fillId="0" borderId="9" xfId="2" applyFont="1" applyBorder="1"/>
    <xf numFmtId="0" fontId="3" fillId="0" borderId="7" xfId="2" applyFont="1" applyBorder="1"/>
    <xf numFmtId="0" fontId="3" fillId="0" borderId="6" xfId="2" applyFont="1" applyBorder="1"/>
    <xf numFmtId="166" fontId="3" fillId="0" borderId="5" xfId="2" applyNumberFormat="1" applyFont="1" applyBorder="1"/>
    <xf numFmtId="166" fontId="7" fillId="0" borderId="5" xfId="2" applyNumberFormat="1" applyFont="1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164" fontId="7" fillId="0" borderId="5" xfId="2" applyNumberFormat="1" applyFont="1" applyBorder="1"/>
    <xf numFmtId="7" fontId="7" fillId="0" borderId="5" xfId="2" applyNumberFormat="1" applyFont="1" applyBorder="1"/>
    <xf numFmtId="0" fontId="10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centerContinuous"/>
    </xf>
    <xf numFmtId="0" fontId="6" fillId="0" borderId="0" xfId="0" applyFont="1"/>
    <xf numFmtId="0" fontId="3" fillId="0" borderId="0" xfId="0" applyFont="1"/>
    <xf numFmtId="170" fontId="3" fillId="0" borderId="0" xfId="1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Border="1"/>
    <xf numFmtId="171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7" fillId="0" borderId="0" xfId="0" applyNumberFormat="1" applyFont="1"/>
    <xf numFmtId="17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2" fontId="7" fillId="0" borderId="0" xfId="0" applyNumberFormat="1" applyFont="1"/>
    <xf numFmtId="172" fontId="8" fillId="0" borderId="0" xfId="0" applyNumberFormat="1" applyFont="1"/>
    <xf numFmtId="39" fontId="6" fillId="0" borderId="0" xfId="0" applyNumberFormat="1" applyFont="1"/>
    <xf numFmtId="166" fontId="7" fillId="0" borderId="0" xfId="0" applyNumberFormat="1" applyFont="1" applyFill="1"/>
    <xf numFmtId="14" fontId="0" fillId="0" borderId="0" xfId="0" applyNumberFormat="1"/>
    <xf numFmtId="0" fontId="14" fillId="0" borderId="0" xfId="0" applyFont="1"/>
    <xf numFmtId="172" fontId="0" fillId="0" borderId="0" xfId="0" applyNumberFormat="1"/>
    <xf numFmtId="166" fontId="3" fillId="0" borderId="0" xfId="0" applyNumberFormat="1" applyFont="1"/>
    <xf numFmtId="2" fontId="3" fillId="0" borderId="0" xfId="0" applyNumberFormat="1" applyFont="1"/>
    <xf numFmtId="172" fontId="0" fillId="0" borderId="0" xfId="4" applyNumberFormat="1" applyFont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showGridLines="0" tabSelected="1" topLeftCell="A73" zoomScale="85" zoomScaleNormal="85" workbookViewId="0">
      <selection activeCell="F101" sqref="F101"/>
    </sheetView>
  </sheetViews>
  <sheetFormatPr defaultColWidth="9.1796875" defaultRowHeight="14" outlineLevelRow="1" x14ac:dyDescent="0.3"/>
  <cols>
    <col min="1" max="1" width="3.81640625" style="1" customWidth="1"/>
    <col min="2" max="2" width="30.7265625" style="1" customWidth="1"/>
    <col min="3" max="3" width="5.54296875" style="1" customWidth="1"/>
    <col min="4" max="4" width="8.54296875" style="1" customWidth="1"/>
    <col min="5" max="5" width="9.7265625" style="1" customWidth="1"/>
    <col min="6" max="6" width="11.26953125" style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6384" width="9.1796875" style="1"/>
  </cols>
  <sheetData>
    <row r="1" spans="1:15" x14ac:dyDescent="0.3">
      <c r="B1" s="4" t="s">
        <v>53</v>
      </c>
    </row>
    <row r="2" spans="1:15" x14ac:dyDescent="0.3">
      <c r="B2" s="60" t="s">
        <v>52</v>
      </c>
      <c r="D2" s="60"/>
      <c r="E2" s="60"/>
    </row>
    <row r="3" spans="1:15" x14ac:dyDescent="0.3">
      <c r="B3" s="60"/>
      <c r="D3" s="60"/>
      <c r="E3" s="60"/>
    </row>
    <row r="4" spans="1:15" x14ac:dyDescent="0.3">
      <c r="A4" s="1" t="s">
        <v>185</v>
      </c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3">
      <c r="C5" s="60"/>
      <c r="D5" s="60"/>
      <c r="E5" s="60"/>
    </row>
    <row r="6" spans="1:15" x14ac:dyDescent="0.3">
      <c r="B6" s="60"/>
      <c r="C6" s="60"/>
      <c r="D6" s="60"/>
      <c r="E6" s="60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1:15" x14ac:dyDescent="0.3">
      <c r="B7" s="60"/>
      <c r="C7" s="60"/>
      <c r="D7" s="60"/>
      <c r="E7" s="60"/>
      <c r="F7" s="59">
        <v>2014</v>
      </c>
      <c r="G7" s="58">
        <f t="shared" ref="G7:O7" si="0">F7+1</f>
        <v>2015</v>
      </c>
      <c r="H7" s="58">
        <f t="shared" si="0"/>
        <v>2016</v>
      </c>
      <c r="I7" s="58">
        <f t="shared" si="0"/>
        <v>2017</v>
      </c>
      <c r="J7" s="57">
        <f t="shared" si="0"/>
        <v>2018</v>
      </c>
      <c r="K7" s="56">
        <f t="shared" si="0"/>
        <v>2019</v>
      </c>
      <c r="L7" s="56">
        <f t="shared" si="0"/>
        <v>2020</v>
      </c>
      <c r="M7" s="56">
        <f t="shared" si="0"/>
        <v>2021</v>
      </c>
      <c r="N7" s="56">
        <f t="shared" si="0"/>
        <v>2022</v>
      </c>
      <c r="O7" s="56">
        <f t="shared" si="0"/>
        <v>2023</v>
      </c>
    </row>
    <row r="8" spans="1:15" x14ac:dyDescent="0.3">
      <c r="B8" s="1" t="s">
        <v>50</v>
      </c>
      <c r="F8" s="30">
        <f>VLOOKUP($B8,GNTX_IS!$A$7:$H$15,MATCH(GNTX_DCF!F$7,GNTX_IS!$A$7:$H$7,0),0)</f>
        <v>1375.501</v>
      </c>
      <c r="G8" s="30">
        <f>VLOOKUP($B8,GNTX_IS!$A$7:$H$15,MATCH(GNTX_DCF!G$7,GNTX_IS!$A$7:$H$7,0),0)</f>
        <v>1543.6179999999999</v>
      </c>
      <c r="H8" s="30">
        <f>VLOOKUP($B8,GNTX_IS!$A$7:$H$15,MATCH(GNTX_DCF!H$7,GNTX_IS!$A$7:$H$7,0),0)</f>
        <v>1678.925</v>
      </c>
      <c r="I8" s="30">
        <f>VLOOKUP($B8,GNTX_IS!$A$7:$H$15,MATCH(GNTX_DCF!I$7,GNTX_IS!$A$7:$H$7,0),0)</f>
        <v>1794.873</v>
      </c>
      <c r="J8" s="29">
        <f>VLOOKUP($B8,GNTX_IS!$A$7:$H$15,MATCH(GNTX_DCF!J$7,GNTX_IS!$A$7:$H$7,0),0)</f>
        <v>1834.063697</v>
      </c>
      <c r="K8" s="55">
        <f>J8*(1+K27)</f>
        <v>1916.5965633649998</v>
      </c>
      <c r="L8" s="55">
        <f t="shared" ref="L8:O8" si="1">K8*(1+L27)</f>
        <v>2005.2391544206309</v>
      </c>
      <c r="M8" s="55">
        <f t="shared" si="1"/>
        <v>2100.4880142556112</v>
      </c>
      <c r="N8" s="55">
        <f t="shared" si="1"/>
        <v>2202.8868049505722</v>
      </c>
      <c r="O8" s="55">
        <f t="shared" si="1"/>
        <v>2313.0311451981011</v>
      </c>
    </row>
    <row r="9" spans="1:15" x14ac:dyDescent="0.3">
      <c r="B9" s="1" t="s">
        <v>49</v>
      </c>
      <c r="F9" s="52">
        <f>VLOOKUP($B9,GNTX_IS!$A$7:$H$15,MATCH(GNTX_DCF!F$7,GNTX_IS!$A$7:$H$7,0),0)</f>
        <v>836.61099999999999</v>
      </c>
      <c r="G9" s="52">
        <f>VLOOKUP($B9,GNTX_IS!$A$7:$H$15,MATCH(GNTX_DCF!G$7,GNTX_IS!$A$7:$H$7,0),0)</f>
        <v>939.84199999999998</v>
      </c>
      <c r="H9" s="52">
        <f>VLOOKUP($B9,GNTX_IS!$A$7:$H$15,MATCH(GNTX_DCF!H$7,GNTX_IS!$A$7:$H$7,0),0)</f>
        <v>1010.473</v>
      </c>
      <c r="I9" s="52">
        <f>VLOOKUP($B9,GNTX_IS!$A$7:$H$15,MATCH(GNTX_DCF!I$7,GNTX_IS!$A$7:$H$7,0),0)</f>
        <v>1100.3440000000001</v>
      </c>
      <c r="J9" s="27">
        <f>VLOOKUP($B9,GNTX_IS!$A$7:$H$15,MATCH(GNTX_DCF!J$7,GNTX_IS!$A$7:$H$7,0),0)</f>
        <v>1143.5970050000001</v>
      </c>
      <c r="K9" s="2">
        <f>K28*K8</f>
        <v>1195.9562555397599</v>
      </c>
      <c r="L9" s="2">
        <f t="shared" ref="L9:O9" si="2">L28*L8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1:15" x14ac:dyDescent="0.3">
      <c r="B10" s="4" t="s">
        <v>48</v>
      </c>
      <c r="F10" s="54">
        <f>F8-F9</f>
        <v>538.89</v>
      </c>
      <c r="G10" s="54">
        <f t="shared" ref="G10:J10" si="3">G8-G9</f>
        <v>603.77599999999995</v>
      </c>
      <c r="H10" s="54">
        <f t="shared" si="3"/>
        <v>668.452</v>
      </c>
      <c r="I10" s="54">
        <f t="shared" si="3"/>
        <v>694.529</v>
      </c>
      <c r="J10" s="53">
        <f t="shared" si="3"/>
        <v>690.46669199999997</v>
      </c>
      <c r="K10" s="3">
        <f>K8-K9</f>
        <v>720.64030782523992</v>
      </c>
      <c r="L10" s="3">
        <f t="shared" ref="L10:O10" si="4">L8-L9</f>
        <v>753.96992206215714</v>
      </c>
      <c r="M10" s="3">
        <f t="shared" si="4"/>
        <v>789.78349336010979</v>
      </c>
      <c r="N10" s="3">
        <f t="shared" si="4"/>
        <v>828.28543866141513</v>
      </c>
      <c r="O10" s="3">
        <f t="shared" si="4"/>
        <v>869.69971059448608</v>
      </c>
    </row>
    <row r="11" spans="1:15" x14ac:dyDescent="0.3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1:15" x14ac:dyDescent="0.3">
      <c r="B12" s="12" t="s">
        <v>47</v>
      </c>
      <c r="C12" s="12"/>
      <c r="D12" s="12"/>
      <c r="E12" s="12"/>
      <c r="F12" s="28">
        <f>VLOOKUP($B12,GNTX_IS!$A$7:$H$15,MATCH(GNTX_DCF!F$7,GNTX_IS!$A$7:$H$7,0),0)</f>
        <v>84.176000000000002</v>
      </c>
      <c r="G12" s="28">
        <f>VLOOKUP($B12,GNTX_IS!$A$7:$H$15,MATCH(GNTX_DCF!G$7,GNTX_IS!$A$7:$H$7,0),0)</f>
        <v>88.393000000000001</v>
      </c>
      <c r="H12" s="28">
        <f>VLOOKUP($B12,GNTX_IS!$A$7:$H$15,MATCH(GNTX_DCF!H$7,GNTX_IS!$A$7:$H$7,0),0)</f>
        <v>94.238</v>
      </c>
      <c r="I12" s="28">
        <f>VLOOKUP($B12,GNTX_IS!$A$7:$H$15,MATCH(GNTX_DCF!I$7,GNTX_IS!$A$7:$H$7,0),0)</f>
        <v>99.725999999999999</v>
      </c>
      <c r="J12" s="27">
        <f>VLOOKUP($B12,GNTX_IS!$A$7:$H$15,MATCH(GNTX_DCF!J$7,GNTX_IS!$A$7:$H$7,0),0)</f>
        <v>107.134862</v>
      </c>
      <c r="K12" s="39">
        <f>K29*K8</f>
        <v>134.16175943555001</v>
      </c>
      <c r="L12" s="39">
        <f t="shared" ref="L12:O12" si="5">L29*L8</f>
        <v>137.86019186641838</v>
      </c>
      <c r="M12" s="39">
        <f t="shared" si="5"/>
        <v>141.78294096225378</v>
      </c>
      <c r="N12" s="39">
        <f t="shared" si="5"/>
        <v>145.94125082797541</v>
      </c>
      <c r="O12" s="39">
        <f t="shared" si="5"/>
        <v>150.34702443787657</v>
      </c>
    </row>
    <row r="13" spans="1:15" x14ac:dyDescent="0.3">
      <c r="B13" s="12" t="s">
        <v>46</v>
      </c>
      <c r="C13" s="12"/>
      <c r="D13" s="12"/>
      <c r="E13" s="12"/>
      <c r="F13" s="28">
        <f>VLOOKUP($B13,GNTX_IS!$A$7:$H$15,MATCH(GNTX_DCF!F$7,GNTX_IS!$A$7:$H$7,0),0)</f>
        <v>55.88</v>
      </c>
      <c r="G13" s="28">
        <f>VLOOKUP($B13,GNTX_IS!$A$7:$H$15,MATCH(GNTX_DCF!G$7,GNTX_IS!$A$7:$H$7,0),0)</f>
        <v>56.616999999999997</v>
      </c>
      <c r="H13" s="28">
        <f>VLOOKUP($B13,GNTX_IS!$A$7:$H$15,MATCH(GNTX_DCF!H$7,GNTX_IS!$A$7:$H$7,0),0)</f>
        <v>62.470999999999997</v>
      </c>
      <c r="I13" s="28">
        <f>VLOOKUP($B13,GNTX_IS!$A$7:$H$15,MATCH(GNTX_DCF!I$7,GNTX_IS!$A$7:$H$7,0),0)</f>
        <v>71.442999999999998</v>
      </c>
      <c r="J13" s="27">
        <f>VLOOKUP($B13,GNTX_IS!$A$7:$H$15,MATCH(GNTX_DCF!J$7,GNTX_IS!$A$7:$H$7,0),0)</f>
        <v>75.206282999999999</v>
      </c>
      <c r="K13" s="39">
        <f>K30*K8</f>
        <v>76.6638625346</v>
      </c>
      <c r="L13" s="39">
        <f t="shared" ref="L13:O13" si="6">L30*L8</f>
        <v>80.209566176825234</v>
      </c>
      <c r="M13" s="39">
        <f t="shared" si="6"/>
        <v>84.019520570224458</v>
      </c>
      <c r="N13" s="39">
        <f t="shared" si="6"/>
        <v>88.115472198022886</v>
      </c>
      <c r="O13" s="39">
        <f t="shared" si="6"/>
        <v>92.521245807924046</v>
      </c>
    </row>
    <row r="14" spans="1:15" x14ac:dyDescent="0.3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7">G10-G12-G13</f>
        <v>458.76599999999991</v>
      </c>
      <c r="H14" s="49">
        <f t="shared" si="7"/>
        <v>511.74299999999994</v>
      </c>
      <c r="I14" s="49">
        <f t="shared" si="7"/>
        <v>523.36</v>
      </c>
      <c r="J14" s="50">
        <f t="shared" si="7"/>
        <v>508.12554699999998</v>
      </c>
      <c r="K14" s="49">
        <f>K10-K12-K13</f>
        <v>509.81468585508986</v>
      </c>
      <c r="L14" s="49">
        <f t="shared" ref="L14:O14" si="8">L10-L12-L13</f>
        <v>535.90016401891353</v>
      </c>
      <c r="M14" s="49">
        <f t="shared" si="8"/>
        <v>563.98103182763157</v>
      </c>
      <c r="N14" s="49">
        <f t="shared" si="8"/>
        <v>594.22871563541685</v>
      </c>
      <c r="O14" s="49">
        <f t="shared" si="8"/>
        <v>626.83144034868542</v>
      </c>
    </row>
    <row r="15" spans="1:15" x14ac:dyDescent="0.3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9">G14*$D$15</f>
        <v>114.69149999999998</v>
      </c>
      <c r="H15" s="43">
        <f t="shared" si="9"/>
        <v>127.93574999999998</v>
      </c>
      <c r="I15" s="43">
        <f t="shared" si="9"/>
        <v>130.84</v>
      </c>
      <c r="J15" s="34">
        <f t="shared" si="9"/>
        <v>127.03138675</v>
      </c>
      <c r="K15" s="43">
        <f>K14*$C$15</f>
        <v>107.06108402956886</v>
      </c>
      <c r="L15" s="43">
        <f t="shared" ref="L15:O15" si="10">L14*$C$15</f>
        <v>112.53903444397184</v>
      </c>
      <c r="M15" s="43">
        <f t="shared" si="10"/>
        <v>118.43601668380262</v>
      </c>
      <c r="N15" s="43">
        <f t="shared" si="10"/>
        <v>124.78803028343754</v>
      </c>
      <c r="O15" s="43">
        <f t="shared" si="10"/>
        <v>131.63460247322394</v>
      </c>
    </row>
    <row r="16" spans="1:15" x14ac:dyDescent="0.3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1">G14-G15</f>
        <v>344.07449999999994</v>
      </c>
      <c r="H16" s="46">
        <f t="shared" si="11"/>
        <v>383.80724999999995</v>
      </c>
      <c r="I16" s="46">
        <f t="shared" si="11"/>
        <v>392.52</v>
      </c>
      <c r="J16" s="47">
        <f t="shared" si="11"/>
        <v>381.09416024999996</v>
      </c>
      <c r="K16" s="46">
        <f>K14-K15</f>
        <v>402.753601825521</v>
      </c>
      <c r="L16" s="46">
        <f t="shared" ref="L16:O16" si="12">L14-L15</f>
        <v>423.36112957494169</v>
      </c>
      <c r="M16" s="46">
        <f t="shared" si="12"/>
        <v>445.54501514382895</v>
      </c>
      <c r="N16" s="46">
        <f t="shared" si="12"/>
        <v>469.44068535197931</v>
      </c>
      <c r="O16" s="46">
        <f t="shared" si="12"/>
        <v>495.19683787546148</v>
      </c>
    </row>
    <row r="17" spans="2:19" x14ac:dyDescent="0.3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 x14ac:dyDescent="0.3">
      <c r="B18" s="12" t="s">
        <v>42</v>
      </c>
      <c r="C18" s="12"/>
      <c r="D18" s="12"/>
      <c r="E18" s="12"/>
      <c r="F18" s="28">
        <f>VLOOKUP($B18,GNTX_CF!$A$46:$H$48,MATCH(GNTX_DCF!F$7,GNTX_CF!$A$46:$H$46,0),0)</f>
        <v>77.376000000000005</v>
      </c>
      <c r="G18" s="28">
        <f>VLOOKUP($B18,GNTX_CF!$A$46:$H$48,MATCH(GNTX_DCF!G$7,GNTX_CF!$A$46:$H$46,0),0)</f>
        <v>80.599000000000004</v>
      </c>
      <c r="H18" s="28">
        <f>VLOOKUP($B18,GNTX_CF!$A$46:$H$48,MATCH(GNTX_DCF!H$7,GNTX_CF!$A$46:$H$46,0),0)</f>
        <v>88.587000000000003</v>
      </c>
      <c r="I18" s="28">
        <f>VLOOKUP($B18,GNTX_CF!$A$46:$H$48,MATCH(GNTX_DCF!I$7,GNTX_CF!$A$46:$H$46,0),0)</f>
        <v>99.570999999999998</v>
      </c>
      <c r="J18" s="27">
        <f>VLOOKUP($B18,GNTX_CF!$A$46:$H$48,MATCH(GNTX_DCF!J$7,GNTX_CF!$A$46:$H$46,0),0)</f>
        <v>102.2</v>
      </c>
      <c r="K18" s="43">
        <f>-K19*K32</f>
        <v>115.95409208358251</v>
      </c>
      <c r="L18" s="43">
        <f t="shared" ref="L18:O18" si="13">-L19*L32</f>
        <v>118.55976500511983</v>
      </c>
      <c r="M18" s="43">
        <f t="shared" si="13"/>
        <v>121.30318282326158</v>
      </c>
      <c r="N18" s="43">
        <f t="shared" si="13"/>
        <v>124.18774362908856</v>
      </c>
      <c r="O18" s="43">
        <f t="shared" si="13"/>
        <v>127.21671298589561</v>
      </c>
    </row>
    <row r="19" spans="2:19" x14ac:dyDescent="0.3">
      <c r="B19" s="12" t="s">
        <v>41</v>
      </c>
      <c r="C19" s="12"/>
      <c r="D19" s="12"/>
      <c r="E19" s="12"/>
      <c r="F19" s="28">
        <f>VLOOKUP($B19,GNTX_CF!$A$46:$H$48,MATCH(GNTX_DCF!F$7,GNTX_CF!$A$46:$H$46,0),0)</f>
        <v>-72.519000000000005</v>
      </c>
      <c r="G19" s="28">
        <f>VLOOKUP($B19,GNTX_CF!$A$46:$H$48,MATCH(GNTX_DCF!G$7,GNTX_CF!$A$46:$H$46,0),0)</f>
        <v>-97.941999999999993</v>
      </c>
      <c r="H19" s="28">
        <f>VLOOKUP($B19,GNTX_CF!$A$46:$H$48,MATCH(GNTX_DCF!H$7,GNTX_CF!$A$46:$H$46,0),0)</f>
        <v>-120.956</v>
      </c>
      <c r="I19" s="28">
        <f>VLOOKUP($B19,GNTX_CF!$A$46:$H$48,MATCH(GNTX_DCF!I$7,GNTX_CF!$A$46:$H$46,0),0)</f>
        <v>-104.041</v>
      </c>
      <c r="J19" s="27">
        <f>VLOOKUP($B19,GNTX_CF!$A$46:$H$48,MATCH(GNTX_DCF!J$7,GNTX_CF!$A$46:$H$46,0),0)</f>
        <v>-85.99</v>
      </c>
      <c r="K19" s="39">
        <f>-K31*K8</f>
        <v>-105.412810985075</v>
      </c>
      <c r="L19" s="39">
        <f t="shared" ref="L19:O19" si="14">-L31*L8</f>
        <v>-110.2881534931347</v>
      </c>
      <c r="M19" s="39">
        <f t="shared" si="14"/>
        <v>-115.52684078405862</v>
      </c>
      <c r="N19" s="39">
        <f t="shared" si="14"/>
        <v>-121.15877427228148</v>
      </c>
      <c r="O19" s="39">
        <f t="shared" si="14"/>
        <v>-127.21671298589555</v>
      </c>
    </row>
    <row r="20" spans="2:19" x14ac:dyDescent="0.3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15">-H69</f>
        <v>15.263999999999896</v>
      </c>
      <c r="I20" s="43">
        <f t="shared" si="15"/>
        <v>-7.5119999999999436</v>
      </c>
      <c r="J20" s="34">
        <f t="shared" si="15"/>
        <v>1.3139420000000541</v>
      </c>
      <c r="K20" s="43">
        <f t="shared" si="15"/>
        <v>-11.324392138400015</v>
      </c>
      <c r="L20" s="43">
        <f t="shared" si="15"/>
        <v>-14.182814568900938</v>
      </c>
      <c r="M20" s="43">
        <f t="shared" si="15"/>
        <v>-15.239817573596895</v>
      </c>
      <c r="N20" s="43">
        <f t="shared" si="15"/>
        <v>-16.383806511193711</v>
      </c>
      <c r="O20" s="43">
        <f t="shared" si="15"/>
        <v>-17.623094439604643</v>
      </c>
    </row>
    <row r="21" spans="2:19" x14ac:dyDescent="0.3">
      <c r="B21" s="26" t="s">
        <v>39</v>
      </c>
      <c r="C21" s="26"/>
      <c r="D21" s="26"/>
      <c r="E21" s="26"/>
      <c r="F21" s="44"/>
      <c r="G21" s="44">
        <f>SUM(G16:G20)</f>
        <v>255.61149999999995</v>
      </c>
      <c r="H21" s="44">
        <f t="shared" ref="H21:O21" si="16">SUM(H16:H20)</f>
        <v>366.70224999999982</v>
      </c>
      <c r="I21" s="44">
        <f t="shared" si="16"/>
        <v>380.53800000000007</v>
      </c>
      <c r="J21" s="45">
        <f t="shared" si="16"/>
        <v>398.61810224999999</v>
      </c>
      <c r="K21" s="44">
        <f t="shared" si="16"/>
        <v>401.97049078562844</v>
      </c>
      <c r="L21" s="44">
        <f t="shared" si="16"/>
        <v>417.44992651802585</v>
      </c>
      <c r="M21" s="44">
        <f t="shared" si="16"/>
        <v>436.08153960943503</v>
      </c>
      <c r="N21" s="44">
        <f t="shared" si="16"/>
        <v>456.08584819759267</v>
      </c>
      <c r="O21" s="44">
        <f t="shared" si="16"/>
        <v>477.57374343585684</v>
      </c>
    </row>
    <row r="22" spans="2:19" x14ac:dyDescent="0.3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 x14ac:dyDescent="0.3">
      <c r="F23" s="41"/>
    </row>
    <row r="24" spans="2:19" x14ac:dyDescent="0.3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 x14ac:dyDescent="0.3">
      <c r="F25" s="40">
        <f>F7</f>
        <v>2014</v>
      </c>
      <c r="G25" s="18">
        <f t="shared" ref="G25:O25" si="17">F25+1</f>
        <v>2015</v>
      </c>
      <c r="H25" s="18">
        <f t="shared" si="17"/>
        <v>2016</v>
      </c>
      <c r="I25" s="18">
        <f t="shared" si="17"/>
        <v>2017</v>
      </c>
      <c r="J25" s="19">
        <f t="shared" si="17"/>
        <v>2018</v>
      </c>
      <c r="K25" s="18">
        <f t="shared" si="17"/>
        <v>2019</v>
      </c>
      <c r="L25" s="18">
        <f t="shared" si="17"/>
        <v>2020</v>
      </c>
      <c r="M25" s="18">
        <f t="shared" si="17"/>
        <v>2021</v>
      </c>
      <c r="N25" s="18">
        <f t="shared" si="17"/>
        <v>2022</v>
      </c>
      <c r="O25" s="18">
        <f t="shared" si="17"/>
        <v>2023</v>
      </c>
    </row>
    <row r="26" spans="2:19" x14ac:dyDescent="0.3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 x14ac:dyDescent="0.3">
      <c r="B27" s="1" t="s">
        <v>3</v>
      </c>
      <c r="F27" s="7"/>
      <c r="G27" s="7">
        <f>G8/F8-1</f>
        <v>0.1222223757016534</v>
      </c>
      <c r="H27" s="7">
        <f t="shared" ref="H27:J27" si="18">H8/G8-1</f>
        <v>8.765575420861893E-2</v>
      </c>
      <c r="I27" s="7">
        <f t="shared" si="18"/>
        <v>6.9060857393868247E-2</v>
      </c>
      <c r="J27" s="17">
        <f t="shared" si="18"/>
        <v>2.1834802239489859E-2</v>
      </c>
      <c r="K27" s="8">
        <v>4.4999999999999998E-2</v>
      </c>
      <c r="L27" s="7">
        <f>K27+$R27</f>
        <v>4.6249999999999999E-2</v>
      </c>
      <c r="M27" s="7">
        <f t="shared" ref="M27:O27" si="19">L27+$R27</f>
        <v>4.7500000000000001E-2</v>
      </c>
      <c r="N27" s="7">
        <f t="shared" si="19"/>
        <v>4.8750000000000002E-2</v>
      </c>
      <c r="O27" s="7">
        <f t="shared" si="19"/>
        <v>0.05</v>
      </c>
      <c r="Q27" s="7" t="s">
        <v>4</v>
      </c>
      <c r="R27" s="119">
        <f>(S27-K27)/($O$25-$K$25)</f>
        <v>1.2500000000000011E-3</v>
      </c>
      <c r="S27" s="8">
        <v>0.05</v>
      </c>
    </row>
    <row r="28" spans="2:19" x14ac:dyDescent="0.3">
      <c r="B28" s="1" t="s">
        <v>2</v>
      </c>
      <c r="F28" s="7">
        <f>F9/F8</f>
        <v>0.60822274938367915</v>
      </c>
      <c r="G28" s="7">
        <f t="shared" ref="G28:J28" si="20">G9/G8</f>
        <v>0.60885659534936754</v>
      </c>
      <c r="H28" s="7">
        <f t="shared" si="20"/>
        <v>0.60185714072993135</v>
      </c>
      <c r="I28" s="7">
        <f t="shared" si="20"/>
        <v>0.61304838838179643</v>
      </c>
      <c r="J28" s="17">
        <f t="shared" si="20"/>
        <v>0.62353178184083535</v>
      </c>
      <c r="K28" s="8">
        <v>0.624</v>
      </c>
      <c r="L28" s="7">
        <f t="shared" ref="L28:O32" si="21">K28+$R28</f>
        <v>0.624</v>
      </c>
      <c r="M28" s="7">
        <f t="shared" si="21"/>
        <v>0.624</v>
      </c>
      <c r="N28" s="7">
        <f t="shared" si="21"/>
        <v>0.624</v>
      </c>
      <c r="O28" s="7">
        <f t="shared" si="21"/>
        <v>0.624</v>
      </c>
      <c r="Q28" s="7" t="s">
        <v>4</v>
      </c>
      <c r="R28" s="119">
        <f t="shared" ref="R28:R32" si="22">(S28-K28)/($O$25-$K$25)</f>
        <v>0</v>
      </c>
      <c r="S28" s="8">
        <v>0.624</v>
      </c>
    </row>
    <row r="29" spans="2:19" x14ac:dyDescent="0.3">
      <c r="B29" s="1" t="s">
        <v>1</v>
      </c>
      <c r="F29" s="7">
        <f>F12/F8</f>
        <v>6.1196611271093229E-2</v>
      </c>
      <c r="G29" s="7">
        <f t="shared" ref="G29:J29" si="23">G12/G8</f>
        <v>5.7263519860483621E-2</v>
      </c>
      <c r="H29" s="7">
        <f t="shared" si="23"/>
        <v>5.6129964113941958E-2</v>
      </c>
      <c r="I29" s="7">
        <f t="shared" si="23"/>
        <v>5.5561591265788718E-2</v>
      </c>
      <c r="J29" s="17">
        <f t="shared" si="23"/>
        <v>5.841392650388412E-2</v>
      </c>
      <c r="K29" s="8">
        <v>7.0000000000000007E-2</v>
      </c>
      <c r="L29" s="7">
        <f t="shared" si="21"/>
        <v>6.8750000000000006E-2</v>
      </c>
      <c r="M29" s="7">
        <f t="shared" si="21"/>
        <v>6.7500000000000004E-2</v>
      </c>
      <c r="N29" s="7">
        <f t="shared" si="21"/>
        <v>6.6250000000000003E-2</v>
      </c>
      <c r="O29" s="7">
        <f t="shared" si="21"/>
        <v>6.5000000000000002E-2</v>
      </c>
      <c r="Q29" s="7" t="s">
        <v>4</v>
      </c>
      <c r="R29" s="119">
        <f t="shared" si="22"/>
        <v>-1.2500000000000011E-3</v>
      </c>
      <c r="S29" s="8">
        <v>6.5000000000000002E-2</v>
      </c>
    </row>
    <row r="30" spans="2:19" x14ac:dyDescent="0.3">
      <c r="B30" s="1" t="s">
        <v>0</v>
      </c>
      <c r="F30" s="7">
        <f>F13/F8</f>
        <v>4.0625197655254346E-2</v>
      </c>
      <c r="G30" s="7">
        <f t="shared" ref="G30:J30" si="24">G13/G8</f>
        <v>3.6678115958741084E-2</v>
      </c>
      <c r="H30" s="7">
        <f t="shared" si="24"/>
        <v>3.7208928332117273E-2</v>
      </c>
      <c r="I30" s="7">
        <f t="shared" si="24"/>
        <v>3.9803930417361001E-2</v>
      </c>
      <c r="J30" s="17">
        <f t="shared" si="24"/>
        <v>4.1005273220889663E-2</v>
      </c>
      <c r="K30" s="8">
        <v>0.04</v>
      </c>
      <c r="L30" s="7">
        <f t="shared" si="21"/>
        <v>0.04</v>
      </c>
      <c r="M30" s="7">
        <f t="shared" si="21"/>
        <v>0.04</v>
      </c>
      <c r="N30" s="7">
        <f t="shared" si="21"/>
        <v>0.04</v>
      </c>
      <c r="O30" s="7">
        <f t="shared" si="21"/>
        <v>0.04</v>
      </c>
      <c r="Q30" s="7" t="s">
        <v>4</v>
      </c>
      <c r="R30" s="119">
        <f t="shared" si="22"/>
        <v>0</v>
      </c>
      <c r="S30" s="8">
        <v>0.04</v>
      </c>
    </row>
    <row r="31" spans="2:19" x14ac:dyDescent="0.3">
      <c r="B31" s="1" t="s">
        <v>37</v>
      </c>
      <c r="F31" s="7">
        <f>-F19/F8</f>
        <v>5.2721880972823723E-2</v>
      </c>
      <c r="G31" s="7">
        <f t="shared" ref="G31:J31" si="25">-G19/G8</f>
        <v>6.3449635855503103E-2</v>
      </c>
      <c r="H31" s="7">
        <f t="shared" si="25"/>
        <v>7.2043718450794408E-2</v>
      </c>
      <c r="I31" s="7">
        <f t="shared" si="25"/>
        <v>5.7965661080198988E-2</v>
      </c>
      <c r="J31" s="17">
        <f t="shared" si="25"/>
        <v>4.6884958325414144E-2</v>
      </c>
      <c r="K31" s="8">
        <v>5.5E-2</v>
      </c>
      <c r="L31" s="7">
        <f t="shared" si="21"/>
        <v>5.5E-2</v>
      </c>
      <c r="M31" s="7">
        <f t="shared" si="21"/>
        <v>5.5E-2</v>
      </c>
      <c r="N31" s="7">
        <f t="shared" si="21"/>
        <v>5.5E-2</v>
      </c>
      <c r="O31" s="7">
        <f t="shared" si="21"/>
        <v>5.5E-2</v>
      </c>
      <c r="Q31" s="7" t="s">
        <v>4</v>
      </c>
      <c r="R31" s="119">
        <f t="shared" si="22"/>
        <v>0</v>
      </c>
      <c r="S31" s="8">
        <v>5.5E-2</v>
      </c>
    </row>
    <row r="32" spans="2:19" x14ac:dyDescent="0.3">
      <c r="B32" s="1" t="s">
        <v>36</v>
      </c>
      <c r="F32" s="7">
        <f>-F18/F19</f>
        <v>1.0669755512348489</v>
      </c>
      <c r="G32" s="7">
        <f t="shared" ref="G32:J32" si="26">-G18/G19</f>
        <v>0.82292581323640535</v>
      </c>
      <c r="H32" s="7">
        <f t="shared" si="26"/>
        <v>0.73239029068421579</v>
      </c>
      <c r="I32" s="7">
        <f t="shared" si="26"/>
        <v>0.95703616843359829</v>
      </c>
      <c r="J32" s="17">
        <f t="shared" si="26"/>
        <v>1.1885102918944064</v>
      </c>
      <c r="K32" s="8">
        <v>1.1000000000000001</v>
      </c>
      <c r="L32" s="7">
        <f t="shared" si="21"/>
        <v>1.0750000000000002</v>
      </c>
      <c r="M32" s="7">
        <f t="shared" si="21"/>
        <v>1.0500000000000003</v>
      </c>
      <c r="N32" s="7">
        <f t="shared" si="21"/>
        <v>1.0250000000000004</v>
      </c>
      <c r="O32" s="7">
        <f t="shared" si="21"/>
        <v>1.0000000000000004</v>
      </c>
      <c r="Q32" s="7" t="s">
        <v>4</v>
      </c>
      <c r="R32" s="119">
        <f t="shared" si="22"/>
        <v>-2.5000000000000022E-2</v>
      </c>
      <c r="S32" s="8">
        <v>1</v>
      </c>
    </row>
    <row r="33" spans="1:15" x14ac:dyDescent="0.3">
      <c r="B33" s="1" t="s">
        <v>35</v>
      </c>
      <c r="F33" s="7">
        <f>F10/F8</f>
        <v>0.3917772506163209</v>
      </c>
      <c r="G33" s="7">
        <f t="shared" ref="G33:J33" si="27">G10/G8</f>
        <v>0.39114340465063246</v>
      </c>
      <c r="H33" s="7">
        <f t="shared" si="27"/>
        <v>0.39814285927006865</v>
      </c>
      <c r="I33" s="7">
        <f t="shared" si="27"/>
        <v>0.38695161161820363</v>
      </c>
      <c r="J33" s="17">
        <f t="shared" si="27"/>
        <v>0.37646821815916459</v>
      </c>
      <c r="K33" s="7">
        <f>K10/K8</f>
        <v>0.376</v>
      </c>
      <c r="L33" s="7">
        <f t="shared" ref="L33:O33" si="28">L10/L8</f>
        <v>0.37599999999999995</v>
      </c>
      <c r="M33" s="7">
        <f t="shared" si="28"/>
        <v>0.376</v>
      </c>
      <c r="N33" s="7">
        <f t="shared" si="28"/>
        <v>0.376</v>
      </c>
      <c r="O33" s="7">
        <f t="shared" si="28"/>
        <v>0.37600000000000006</v>
      </c>
    </row>
    <row r="34" spans="1:15" x14ac:dyDescent="0.3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1:15" x14ac:dyDescent="0.3">
      <c r="A35" s="1" t="s">
        <v>185</v>
      </c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5" x14ac:dyDescent="0.3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</row>
    <row r="38" spans="1:15" x14ac:dyDescent="0.3">
      <c r="F38" s="13" t="s">
        <v>32</v>
      </c>
      <c r="G38" s="12"/>
      <c r="H38" s="12"/>
      <c r="I38" s="35"/>
      <c r="K38" s="13"/>
      <c r="L38" s="12"/>
      <c r="M38" s="12"/>
      <c r="N38" s="17"/>
    </row>
    <row r="39" spans="1:15" x14ac:dyDescent="0.3">
      <c r="F39" s="13" t="s">
        <v>31</v>
      </c>
      <c r="G39" s="12"/>
      <c r="H39" s="12"/>
      <c r="I39" s="34">
        <f>O21</f>
        <v>477.57374343585684</v>
      </c>
      <c r="K39" s="13" t="s">
        <v>30</v>
      </c>
      <c r="L39" s="12"/>
      <c r="M39" s="12"/>
      <c r="N39" s="11">
        <f>O14+O18</f>
        <v>754.048153334581</v>
      </c>
    </row>
    <row r="40" spans="1:15" x14ac:dyDescent="0.3">
      <c r="F40" s="13" t="s">
        <v>5</v>
      </c>
      <c r="G40" s="12"/>
      <c r="H40" s="12"/>
      <c r="I40" s="37">
        <v>0.04</v>
      </c>
      <c r="K40" s="13" t="s">
        <v>29</v>
      </c>
      <c r="L40" s="12"/>
      <c r="M40" s="12"/>
      <c r="N40" s="36">
        <v>5.2</v>
      </c>
    </row>
    <row r="41" spans="1:15" x14ac:dyDescent="0.3">
      <c r="F41" s="13" t="s">
        <v>28</v>
      </c>
      <c r="G41" s="12"/>
      <c r="H41" s="12"/>
      <c r="I41" s="25">
        <f>I39*(1+I40)/(I38-I40)</f>
        <v>-12416.917329332278</v>
      </c>
      <c r="K41" s="13" t="s">
        <v>28</v>
      </c>
      <c r="L41" s="12"/>
      <c r="M41" s="12"/>
      <c r="N41" s="25">
        <f>N39*N40</f>
        <v>3921.0503973398213</v>
      </c>
      <c r="O41" s="24"/>
    </row>
    <row r="42" spans="1:15" x14ac:dyDescent="0.3">
      <c r="F42" s="13" t="s">
        <v>27</v>
      </c>
      <c r="G42" s="12"/>
      <c r="H42" s="12"/>
      <c r="I42" s="35"/>
      <c r="K42" s="13" t="s">
        <v>27</v>
      </c>
      <c r="L42" s="12"/>
      <c r="M42" s="12"/>
      <c r="N42" s="35">
        <f>I42</f>
        <v>0</v>
      </c>
      <c r="O42" s="24"/>
    </row>
    <row r="43" spans="1:15" x14ac:dyDescent="0.3">
      <c r="F43" s="13" t="s">
        <v>26</v>
      </c>
      <c r="G43" s="12"/>
      <c r="H43" s="12"/>
      <c r="I43" s="11">
        <f>-PV(I42,5,0,I41,0)</f>
        <v>-12416.917329332278</v>
      </c>
      <c r="K43" s="13" t="s">
        <v>26</v>
      </c>
      <c r="L43" s="12"/>
      <c r="M43" s="12"/>
      <c r="N43" s="11">
        <f>-PV(N42,5,0,N41,0)</f>
        <v>3921.0503973398213</v>
      </c>
    </row>
    <row r="44" spans="1:15" x14ac:dyDescent="0.3">
      <c r="F44" s="13"/>
      <c r="G44" s="12"/>
      <c r="H44" s="12"/>
      <c r="I44" s="11"/>
      <c r="K44" s="13"/>
      <c r="L44" s="12"/>
      <c r="M44" s="12"/>
      <c r="N44" s="11"/>
    </row>
    <row r="45" spans="1:15" x14ac:dyDescent="0.3">
      <c r="F45" s="13" t="s">
        <v>25</v>
      </c>
      <c r="G45" s="12"/>
      <c r="H45" s="12"/>
      <c r="I45" s="11"/>
      <c r="K45" s="13" t="s">
        <v>25</v>
      </c>
      <c r="L45" s="12"/>
      <c r="M45" s="12"/>
      <c r="N45" s="11"/>
    </row>
    <row r="46" spans="1:15" x14ac:dyDescent="0.3">
      <c r="F46" s="13" t="s">
        <v>24</v>
      </c>
      <c r="G46" s="12"/>
      <c r="H46" s="12"/>
      <c r="I46" s="11"/>
      <c r="K46" s="13" t="s">
        <v>24</v>
      </c>
      <c r="L46" s="12"/>
      <c r="M46" s="12"/>
      <c r="N46" s="11"/>
    </row>
    <row r="47" spans="1:15" x14ac:dyDescent="0.3">
      <c r="F47" s="13" t="s">
        <v>23</v>
      </c>
      <c r="G47" s="12"/>
      <c r="H47" s="12"/>
      <c r="I47" s="27"/>
      <c r="K47" s="13" t="s">
        <v>23</v>
      </c>
      <c r="L47" s="12"/>
      <c r="M47" s="12"/>
      <c r="N47" s="27"/>
    </row>
    <row r="48" spans="1:15" x14ac:dyDescent="0.3">
      <c r="F48" s="13" t="s">
        <v>22</v>
      </c>
      <c r="G48" s="12"/>
      <c r="H48" s="12"/>
      <c r="I48" s="11"/>
      <c r="K48" s="13" t="s">
        <v>22</v>
      </c>
      <c r="L48" s="12"/>
      <c r="M48" s="12"/>
      <c r="N48" s="11"/>
    </row>
    <row r="49" spans="1:15" x14ac:dyDescent="0.3">
      <c r="F49" s="13" t="s">
        <v>21</v>
      </c>
      <c r="G49" s="12"/>
      <c r="H49" s="12"/>
      <c r="I49" s="34"/>
      <c r="K49" s="13" t="s">
        <v>21</v>
      </c>
      <c r="L49" s="12"/>
      <c r="M49" s="12"/>
      <c r="N49" s="34"/>
    </row>
    <row r="50" spans="1:15" x14ac:dyDescent="0.3">
      <c r="F50" s="10" t="s">
        <v>20</v>
      </c>
      <c r="G50" s="9"/>
      <c r="H50" s="9"/>
      <c r="I50" s="33"/>
      <c r="K50" s="10" t="s">
        <v>20</v>
      </c>
      <c r="L50" s="9"/>
      <c r="M50" s="9"/>
      <c r="N50" s="33"/>
    </row>
    <row r="52" spans="1:15" x14ac:dyDescent="0.3">
      <c r="E52" s="32"/>
    </row>
    <row r="53" spans="1:15" x14ac:dyDescent="0.3">
      <c r="G53" s="31"/>
    </row>
    <row r="54" spans="1:15" x14ac:dyDescent="0.3">
      <c r="A54" s="1" t="s">
        <v>185</v>
      </c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1:15" x14ac:dyDescent="0.3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1:15" x14ac:dyDescent="0.3">
      <c r="F58" s="20">
        <f>F7</f>
        <v>2014</v>
      </c>
      <c r="G58" s="18">
        <f t="shared" ref="G58:O58" si="29">F58+1</f>
        <v>2015</v>
      </c>
      <c r="H58" s="18">
        <f t="shared" si="29"/>
        <v>2016</v>
      </c>
      <c r="I58" s="18">
        <f t="shared" si="29"/>
        <v>2017</v>
      </c>
      <c r="J58" s="19">
        <f t="shared" si="29"/>
        <v>2018</v>
      </c>
      <c r="K58" s="18">
        <f t="shared" si="29"/>
        <v>2019</v>
      </c>
      <c r="L58" s="18">
        <f t="shared" si="29"/>
        <v>2020</v>
      </c>
      <c r="M58" s="18">
        <f t="shared" si="29"/>
        <v>2021</v>
      </c>
      <c r="N58" s="18">
        <f t="shared" si="29"/>
        <v>2022</v>
      </c>
      <c r="O58" s="18">
        <f t="shared" si="29"/>
        <v>2023</v>
      </c>
    </row>
    <row r="59" spans="1:15" x14ac:dyDescent="0.3">
      <c r="B59" s="1" t="s">
        <v>18</v>
      </c>
      <c r="F59" s="30">
        <f>VLOOKUP($B59,GNTX_BS!$A$7:$H$47,MATCH(GNTX_DCF!F$58,GNTX_BS!$A$7:$H$7,0),0)</f>
        <v>856.63800000000003</v>
      </c>
      <c r="G59" s="30">
        <f>VLOOKUP($B59,GNTX_BS!$A$7:$H$47,MATCH(GNTX_DCF!G$58,GNTX_BS!$A$7:$H$7,0),0)</f>
        <v>984.00900000000001</v>
      </c>
      <c r="H59" s="30">
        <f>VLOOKUP($B59,GNTX_BS!$A$7:$H$47,MATCH(GNTX_DCF!H$58,GNTX_BS!$A$7:$H$7,0),0)</f>
        <v>1154.989</v>
      </c>
      <c r="I59" s="30">
        <f>VLOOKUP($B59,GNTX_BS!$A$7:$H$47,MATCH(GNTX_DCF!I$58,GNTX_BS!$A$7:$H$7,0),0)</f>
        <v>1184.5640000000001</v>
      </c>
      <c r="J59" s="29">
        <f>VLOOKUP($B59,GNTX_BS!$A$7:$H$47,MATCH(GNTX_DCF!J$58,GNTX_BS!$A$7:$H$7,0),0)</f>
        <v>850.93025399999999</v>
      </c>
    </row>
    <row r="60" spans="1:15" x14ac:dyDescent="0.3">
      <c r="B60" s="1" t="s">
        <v>17</v>
      </c>
      <c r="F60" s="28">
        <f>VLOOKUP($B60,GNTX_BS!$A$7:$H$47,MATCH(GNTX_DCF!F$58,GNTX_BS!$A$7:$H$7,0),0)</f>
        <v>497.43</v>
      </c>
      <c r="G60" s="28">
        <f>VLOOKUP($B60,GNTX_BS!$A$7:$H$47,MATCH(GNTX_DCF!G$58,GNTX_BS!$A$7:$H$7,0),0)</f>
        <v>551.55799999999999</v>
      </c>
      <c r="H60" s="28">
        <f>VLOOKUP($B60,GNTX_BS!$A$7:$H$47,MATCH(GNTX_DCF!H$58,GNTX_BS!$A$7:$H$7,0),0)</f>
        <v>546.47699999999998</v>
      </c>
      <c r="I60" s="28">
        <f>VLOOKUP($B60,GNTX_BS!$A$7:$H$47,MATCH(GNTX_DCF!I$58,GNTX_BS!$A$7:$H$7,0),0)</f>
        <v>569.73400000000004</v>
      </c>
      <c r="J60" s="27">
        <f>VLOOKUP($B60,GNTX_BS!$A$7:$H$47,MATCH(GNTX_DCF!J$58,GNTX_BS!$A$7:$H$7,0),0)</f>
        <v>217.02527799999999</v>
      </c>
    </row>
    <row r="61" spans="1:15" x14ac:dyDescent="0.3">
      <c r="B61" s="1" t="s">
        <v>16</v>
      </c>
      <c r="F61" s="28">
        <f>VLOOKUP($B61,GNTX_BS!$A$7:$H$47,MATCH(GNTX_DCF!F$58,GNTX_BS!$A$7:$H$7,0),0)</f>
        <v>0</v>
      </c>
      <c r="G61" s="28">
        <f>VLOOKUP($B61,GNTX_BS!$A$7:$H$47,MATCH(GNTX_DCF!G$58,GNTX_BS!$A$7:$H$7,0),0)</f>
        <v>4.5469999999999997</v>
      </c>
      <c r="H61" s="28">
        <f>VLOOKUP($B61,GNTX_BS!$A$7:$H$47,MATCH(GNTX_DCF!H$58,GNTX_BS!$A$7:$H$7,0),0)</f>
        <v>177.02099999999999</v>
      </c>
      <c r="I61" s="28">
        <f>VLOOKUP($B61,GNTX_BS!$A$7:$H$47,MATCH(GNTX_DCF!I$58,GNTX_BS!$A$7:$H$7,0),0)</f>
        <v>152.53800000000001</v>
      </c>
      <c r="J61" s="27">
        <f>VLOOKUP($B61,GNTX_BS!$A$7:$H$47,MATCH(GNTX_DCF!J$58,GNTX_BS!$A$7:$H$7,0),0)</f>
        <v>169.41299900000001</v>
      </c>
    </row>
    <row r="62" spans="1:15" x14ac:dyDescent="0.3">
      <c r="B62" s="1" t="s">
        <v>15</v>
      </c>
      <c r="F62" s="2">
        <f>F59-F60-F61</f>
        <v>359.20800000000003</v>
      </c>
      <c r="G62" s="2">
        <f t="shared" ref="G62:J62" si="30">G59-G60-G61</f>
        <v>427.904</v>
      </c>
      <c r="H62" s="2">
        <f t="shared" si="30"/>
        <v>431.4910000000001</v>
      </c>
      <c r="I62" s="2">
        <f t="shared" si="30"/>
        <v>462.29200000000003</v>
      </c>
      <c r="J62" s="11">
        <f t="shared" si="30"/>
        <v>464.49197700000002</v>
      </c>
    </row>
    <row r="63" spans="1:15" x14ac:dyDescent="0.3">
      <c r="F63" s="2"/>
      <c r="G63" s="2"/>
      <c r="H63" s="2"/>
      <c r="I63" s="2"/>
      <c r="J63" s="11"/>
    </row>
    <row r="64" spans="1:15" x14ac:dyDescent="0.3">
      <c r="B64" s="1" t="s">
        <v>14</v>
      </c>
      <c r="F64" s="28">
        <f>VLOOKUP($B64,GNTX_BS!$A$7:$H$47,MATCH(GNTX_DCF!F$58,GNTX_BS!$A$7:$H$7,0),0)</f>
        <v>133.43100000000001</v>
      </c>
      <c r="G64" s="28">
        <f>VLOOKUP($B64,GNTX_BS!$A$7:$H$47,MATCH(GNTX_DCF!G$58,GNTX_BS!$A$7:$H$7,0),0)</f>
        <v>131.00700000000001</v>
      </c>
      <c r="H64" s="28">
        <f>VLOOKUP($B64,GNTX_BS!$A$7:$H$47,MATCH(GNTX_DCF!H$58,GNTX_BS!$A$7:$H$7,0),0)</f>
        <v>149.858</v>
      </c>
      <c r="I64" s="28">
        <f>VLOOKUP($B64,GNTX_BS!$A$7:$H$47,MATCH(GNTX_DCF!I$58,GNTX_BS!$A$7:$H$7,0),0)</f>
        <v>243.64699999999999</v>
      </c>
      <c r="J64" s="27">
        <f>VLOOKUP($B64,GNTX_BS!$A$7:$H$47,MATCH(GNTX_DCF!J$58,GNTX_BS!$A$7:$H$7,0),0)</f>
        <v>169.16091900000001</v>
      </c>
    </row>
    <row r="65" spans="1:15" x14ac:dyDescent="0.3">
      <c r="B65" s="1" t="s">
        <v>13</v>
      </c>
      <c r="F65" s="28">
        <f>VLOOKUP($B65,GNTX_BS!$A$7:$H$47,MATCH(GNTX_DCF!F$58,GNTX_BS!$A$7:$H$7,0),0)</f>
        <v>7.5</v>
      </c>
      <c r="G65" s="28">
        <f>VLOOKUP($B65,GNTX_BS!$A$7:$H$47,MATCH(GNTX_DCF!G$58,GNTX_BS!$A$7:$H$7,0),0)</f>
        <v>7.5</v>
      </c>
      <c r="H65" s="28">
        <f>VLOOKUP($B65,GNTX_BS!$A$7:$H$47,MATCH(GNTX_DCF!H$58,GNTX_BS!$A$7:$H$7,0),0)</f>
        <v>7.5</v>
      </c>
      <c r="I65" s="28">
        <f>VLOOKUP($B65,GNTX_BS!$A$7:$H$47,MATCH(GNTX_DCF!I$58,GNTX_BS!$A$7:$H$7,0),0)</f>
        <v>78</v>
      </c>
      <c r="J65" s="27">
        <f>VLOOKUP($B65,GNTX_BS!$A$7:$H$47,MATCH(GNTX_DCF!J$58,GNTX_BS!$A$7:$H$7,0),0)</f>
        <v>0</v>
      </c>
    </row>
    <row r="66" spans="1:15" x14ac:dyDescent="0.3">
      <c r="B66" s="1" t="s">
        <v>12</v>
      </c>
      <c r="F66" s="2">
        <f>F64-F65</f>
        <v>125.93100000000001</v>
      </c>
      <c r="G66" s="2">
        <f t="shared" ref="G66:J66" si="31">G64-G65</f>
        <v>123.50700000000001</v>
      </c>
      <c r="H66" s="2">
        <f t="shared" si="31"/>
        <v>142.358</v>
      </c>
      <c r="I66" s="2">
        <f t="shared" si="31"/>
        <v>165.64699999999999</v>
      </c>
      <c r="J66" s="11">
        <f t="shared" si="31"/>
        <v>169.16091900000001</v>
      </c>
    </row>
    <row r="67" spans="1:15" x14ac:dyDescent="0.3">
      <c r="F67" s="2"/>
      <c r="G67" s="2"/>
      <c r="H67" s="2"/>
      <c r="I67" s="2"/>
      <c r="J67" s="11"/>
    </row>
    <row r="68" spans="1:15" x14ac:dyDescent="0.3">
      <c r="B68" s="26" t="s">
        <v>11</v>
      </c>
      <c r="F68" s="2">
        <f>F62-F66</f>
        <v>233.27700000000002</v>
      </c>
      <c r="G68" s="2">
        <f t="shared" ref="G68:J68" si="32">G62-G66</f>
        <v>304.39699999999999</v>
      </c>
      <c r="H68" s="2">
        <f t="shared" si="32"/>
        <v>289.1330000000001</v>
      </c>
      <c r="I68" s="2">
        <f t="shared" si="32"/>
        <v>296.64500000000004</v>
      </c>
      <c r="J68" s="11">
        <f t="shared" si="32"/>
        <v>295.33105799999998</v>
      </c>
      <c r="K68" s="2">
        <f>K74*K8</f>
        <v>306.6554501384</v>
      </c>
      <c r="L68" s="2">
        <f t="shared" ref="L68:O68" si="33">L74*L8</f>
        <v>320.83826470730094</v>
      </c>
      <c r="M68" s="2">
        <f t="shared" si="33"/>
        <v>336.07808228089783</v>
      </c>
      <c r="N68" s="2">
        <f t="shared" si="33"/>
        <v>352.46188879209154</v>
      </c>
      <c r="O68" s="2">
        <f t="shared" si="33"/>
        <v>370.08498323169619</v>
      </c>
    </row>
    <row r="69" spans="1:15" x14ac:dyDescent="0.3">
      <c r="B69" s="26" t="s">
        <v>10</v>
      </c>
      <c r="G69" s="24">
        <f>G68-F68</f>
        <v>71.119999999999976</v>
      </c>
      <c r="H69" s="24">
        <f>H68-G68</f>
        <v>-15.263999999999896</v>
      </c>
      <c r="I69" s="24">
        <f t="shared" ref="I69:O69" si="34">I68-H68</f>
        <v>7.5119999999999436</v>
      </c>
      <c r="J69" s="25">
        <f t="shared" si="34"/>
        <v>-1.3139420000000541</v>
      </c>
      <c r="K69" s="24">
        <f t="shared" si="34"/>
        <v>11.324392138400015</v>
      </c>
      <c r="L69" s="24">
        <f t="shared" si="34"/>
        <v>14.182814568900938</v>
      </c>
      <c r="M69" s="24">
        <f t="shared" si="34"/>
        <v>15.239817573596895</v>
      </c>
      <c r="N69" s="24">
        <f t="shared" si="34"/>
        <v>16.383806511193711</v>
      </c>
      <c r="O69" s="24">
        <f t="shared" si="34"/>
        <v>17.623094439604643</v>
      </c>
    </row>
    <row r="72" spans="1:15" x14ac:dyDescent="0.3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1:15" x14ac:dyDescent="0.3">
      <c r="F73" s="20">
        <f>F58</f>
        <v>2014</v>
      </c>
      <c r="G73" s="18">
        <f t="shared" ref="G73:O73" si="35">F73+1</f>
        <v>2015</v>
      </c>
      <c r="H73" s="18">
        <f t="shared" si="35"/>
        <v>2016</v>
      </c>
      <c r="I73" s="18">
        <f t="shared" si="35"/>
        <v>2017</v>
      </c>
      <c r="J73" s="19">
        <f t="shared" si="35"/>
        <v>2018</v>
      </c>
      <c r="K73" s="18">
        <f t="shared" si="35"/>
        <v>2019</v>
      </c>
      <c r="L73" s="18">
        <f t="shared" si="35"/>
        <v>2020</v>
      </c>
      <c r="M73" s="18">
        <f t="shared" si="35"/>
        <v>2021</v>
      </c>
      <c r="N73" s="18">
        <f t="shared" si="35"/>
        <v>2022</v>
      </c>
      <c r="O73" s="18">
        <f t="shared" si="35"/>
        <v>2023</v>
      </c>
    </row>
    <row r="74" spans="1:15" x14ac:dyDescent="0.3">
      <c r="B74" s="1" t="s">
        <v>7</v>
      </c>
      <c r="F74" s="7">
        <f>F68/F8</f>
        <v>0.16959420603838166</v>
      </c>
      <c r="G74" s="7">
        <f t="shared" ref="G74:J74" si="36">G68/G8</f>
        <v>0.19719710446496477</v>
      </c>
      <c r="H74" s="7">
        <f t="shared" si="36"/>
        <v>0.17221317211906434</v>
      </c>
      <c r="I74" s="7">
        <f t="shared" si="36"/>
        <v>0.16527353188777147</v>
      </c>
      <c r="J74" s="17">
        <f t="shared" si="36"/>
        <v>0.16102551862461295</v>
      </c>
      <c r="K74" s="8">
        <v>0.16</v>
      </c>
      <c r="L74" s="7">
        <f>K74</f>
        <v>0.16</v>
      </c>
      <c r="M74" s="7">
        <f t="shared" ref="M74:O74" si="37">L74</f>
        <v>0.16</v>
      </c>
      <c r="N74" s="7">
        <f t="shared" si="37"/>
        <v>0.16</v>
      </c>
      <c r="O74" s="7">
        <f t="shared" si="37"/>
        <v>0.16</v>
      </c>
    </row>
    <row r="77" spans="1:15" x14ac:dyDescent="0.3">
      <c r="A77" s="1" t="s">
        <v>185</v>
      </c>
      <c r="B77" s="82" t="s">
        <v>132</v>
      </c>
      <c r="C77" s="83"/>
      <c r="D77" s="82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 hidden="1" outlineLevel="1" x14ac:dyDescent="0.3"/>
    <row r="79" spans="1:15" hidden="1" outlineLevel="1" x14ac:dyDescent="0.3"/>
    <row r="80" spans="1:15" hidden="1" outlineLevel="1" x14ac:dyDescent="0.3">
      <c r="B80" s="81"/>
      <c r="C80" s="81"/>
      <c r="D80" s="81"/>
      <c r="E80" s="81"/>
      <c r="F80" s="86" t="s">
        <v>6</v>
      </c>
      <c r="G80" s="85"/>
      <c r="H80" s="85"/>
      <c r="I80" s="87"/>
      <c r="J80" s="81"/>
      <c r="K80" s="81"/>
      <c r="L80" s="81"/>
      <c r="M80" s="81"/>
      <c r="N80" s="81"/>
      <c r="O80" s="81"/>
    </row>
    <row r="81" spans="1:15" hidden="1" outlineLevel="1" x14ac:dyDescent="0.3">
      <c r="F81" s="88" t="s">
        <v>133</v>
      </c>
      <c r="G81" s="84"/>
      <c r="H81" s="84"/>
      <c r="I81" s="90"/>
    </row>
    <row r="82" spans="1:15" hidden="1" outlineLevel="1" x14ac:dyDescent="0.3">
      <c r="F82" s="88" t="s">
        <v>134</v>
      </c>
      <c r="G82" s="84"/>
      <c r="H82" s="84"/>
      <c r="I82" s="90"/>
    </row>
    <row r="83" spans="1:15" hidden="1" outlineLevel="1" x14ac:dyDescent="0.3">
      <c r="F83" s="88" t="s">
        <v>135</v>
      </c>
      <c r="G83" s="84"/>
      <c r="H83" s="84"/>
      <c r="I83" s="95"/>
    </row>
    <row r="84" spans="1:15" hidden="1" outlineLevel="1" x14ac:dyDescent="0.3">
      <c r="F84" s="88" t="s">
        <v>136</v>
      </c>
      <c r="G84" s="84"/>
      <c r="H84" s="84"/>
      <c r="I84" s="95"/>
    </row>
    <row r="85" spans="1:15" hidden="1" outlineLevel="1" x14ac:dyDescent="0.3">
      <c r="F85" s="88" t="s">
        <v>137</v>
      </c>
      <c r="G85" s="84"/>
      <c r="H85" s="84"/>
      <c r="I85" s="89"/>
    </row>
    <row r="86" spans="1:15" hidden="1" outlineLevel="1" x14ac:dyDescent="0.3">
      <c r="F86" s="88" t="s">
        <v>138</v>
      </c>
      <c r="G86" s="84"/>
      <c r="H86" s="84"/>
      <c r="I86" s="94"/>
    </row>
    <row r="87" spans="1:15" hidden="1" outlineLevel="1" x14ac:dyDescent="0.3">
      <c r="F87" s="88" t="s">
        <v>139</v>
      </c>
      <c r="G87" s="84"/>
      <c r="H87" s="84"/>
      <c r="I87" s="89"/>
    </row>
    <row r="88" spans="1:15" hidden="1" outlineLevel="1" x14ac:dyDescent="0.3">
      <c r="F88" s="88" t="s">
        <v>140</v>
      </c>
      <c r="G88" s="84"/>
      <c r="H88" s="84"/>
      <c r="I88" s="89"/>
    </row>
    <row r="89" spans="1:15" hidden="1" outlineLevel="1" x14ac:dyDescent="0.3">
      <c r="F89" s="91"/>
      <c r="G89" s="92"/>
      <c r="H89" s="92"/>
      <c r="I89" s="93"/>
    </row>
    <row r="90" spans="1:15" hidden="1" outlineLevel="1" x14ac:dyDescent="0.3"/>
    <row r="91" spans="1:15" collapsed="1" x14ac:dyDescent="0.3">
      <c r="A91" s="1" t="s">
        <v>185</v>
      </c>
      <c r="B91" s="6" t="s">
        <v>141</v>
      </c>
      <c r="C91" s="5"/>
      <c r="D91" s="6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3">
      <c r="B92" s="96"/>
      <c r="C92" s="97"/>
      <c r="D92" s="96"/>
      <c r="E92" s="96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1:15" x14ac:dyDescent="0.3">
      <c r="F93" s="4" t="s">
        <v>142</v>
      </c>
      <c r="G93" s="4" t="s">
        <v>143</v>
      </c>
    </row>
    <row r="94" spans="1:15" x14ac:dyDescent="0.3">
      <c r="B94" s="98" t="s">
        <v>144</v>
      </c>
    </row>
    <row r="95" spans="1:15" x14ac:dyDescent="0.3">
      <c r="B95" s="99" t="s">
        <v>145</v>
      </c>
      <c r="F95" s="2"/>
    </row>
    <row r="96" spans="1:15" x14ac:dyDescent="0.3">
      <c r="B96" s="99" t="s">
        <v>146</v>
      </c>
      <c r="F96" s="2"/>
    </row>
    <row r="97" spans="2:10" x14ac:dyDescent="0.3">
      <c r="B97" s="99" t="s">
        <v>193</v>
      </c>
      <c r="F97" s="2"/>
    </row>
    <row r="98" spans="2:10" x14ac:dyDescent="0.3">
      <c r="B98" s="99" t="s">
        <v>147</v>
      </c>
      <c r="F98" s="24"/>
    </row>
    <row r="99" spans="2:10" x14ac:dyDescent="0.3">
      <c r="B99"/>
    </row>
    <row r="100" spans="2:10" x14ac:dyDescent="0.3">
      <c r="B100" s="99" t="s">
        <v>148</v>
      </c>
      <c r="F100" s="7"/>
      <c r="G100" s="7"/>
    </row>
    <row r="101" spans="2:10" x14ac:dyDescent="0.3">
      <c r="B101" s="99" t="s">
        <v>149</v>
      </c>
      <c r="F101" s="7"/>
      <c r="G101" s="7"/>
    </row>
    <row r="102" spans="2:10" x14ac:dyDescent="0.3">
      <c r="B102"/>
    </row>
    <row r="103" spans="2:10" x14ac:dyDescent="0.3">
      <c r="B103" s="98" t="s">
        <v>150</v>
      </c>
    </row>
    <row r="104" spans="2:10" x14ac:dyDescent="0.3">
      <c r="B104" s="99" t="s">
        <v>151</v>
      </c>
      <c r="F104" s="8"/>
      <c r="G104" s="7"/>
    </row>
    <row r="105" spans="2:10" x14ac:dyDescent="0.3">
      <c r="B105" s="99" t="s">
        <v>152</v>
      </c>
      <c r="F105" s="8"/>
      <c r="G105" s="7"/>
    </row>
    <row r="106" spans="2:10" x14ac:dyDescent="0.3">
      <c r="B106"/>
      <c r="F106" s="8"/>
      <c r="J106" s="32"/>
    </row>
    <row r="107" spans="2:10" x14ac:dyDescent="0.3">
      <c r="B107" s="98" t="s">
        <v>153</v>
      </c>
      <c r="F107" s="8"/>
    </row>
    <row r="108" spans="2:10" x14ac:dyDescent="0.3">
      <c r="B108" s="99" t="s">
        <v>154</v>
      </c>
      <c r="F108" s="8"/>
      <c r="G108" s="7"/>
    </row>
    <row r="109" spans="2:10" x14ac:dyDescent="0.3">
      <c r="B109" s="99" t="s">
        <v>155</v>
      </c>
      <c r="F109" s="8"/>
      <c r="G109" s="7"/>
    </row>
    <row r="110" spans="2:10" x14ac:dyDescent="0.3">
      <c r="B110" s="99" t="s">
        <v>156</v>
      </c>
      <c r="F110" s="100"/>
      <c r="G110"/>
    </row>
    <row r="111" spans="2:10" x14ac:dyDescent="0.3">
      <c r="B111" s="98" t="s">
        <v>153</v>
      </c>
      <c r="F111" s="7"/>
      <c r="G111" s="7"/>
    </row>
    <row r="112" spans="2:10" x14ac:dyDescent="0.3">
      <c r="B112"/>
      <c r="F112" s="7"/>
    </row>
    <row r="113" spans="1:15" x14ac:dyDescent="0.3">
      <c r="B113" s="98" t="s">
        <v>157</v>
      </c>
      <c r="F113" s="7"/>
      <c r="G113" s="7"/>
    </row>
    <row r="115" spans="1:15" x14ac:dyDescent="0.3">
      <c r="A115" s="1" t="s">
        <v>185</v>
      </c>
      <c r="B115" s="6" t="s">
        <v>158</v>
      </c>
      <c r="C115" s="5"/>
      <c r="D115" s="6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3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1:15" x14ac:dyDescent="0.3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1:15" x14ac:dyDescent="0.3">
      <c r="B118" s="99"/>
      <c r="C118" s="99"/>
      <c r="D118" s="99"/>
      <c r="E118" s="101" t="s">
        <v>159</v>
      </c>
      <c r="F118" s="101" t="s">
        <v>160</v>
      </c>
      <c r="G118" s="102" t="s">
        <v>161</v>
      </c>
      <c r="H118" s="102" t="s">
        <v>162</v>
      </c>
      <c r="I118" s="102" t="s">
        <v>163</v>
      </c>
      <c r="J118" s="99"/>
      <c r="K118" s="102" t="s">
        <v>164</v>
      </c>
    </row>
    <row r="119" spans="1:15" ht="14.5" thickBot="1" x14ac:dyDescent="0.35">
      <c r="B119" s="103" t="s">
        <v>165</v>
      </c>
      <c r="C119" s="104"/>
      <c r="D119" s="105"/>
      <c r="E119" s="105" t="s">
        <v>166</v>
      </c>
      <c r="F119" s="105" t="s">
        <v>167</v>
      </c>
      <c r="G119" s="105" t="s">
        <v>166</v>
      </c>
      <c r="H119" s="105" t="s">
        <v>156</v>
      </c>
      <c r="I119" s="105" t="s">
        <v>156</v>
      </c>
      <c r="J119" s="99"/>
      <c r="K119" s="105" t="s">
        <v>168</v>
      </c>
    </row>
    <row r="120" spans="1:15" x14ac:dyDescent="0.3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1:15" x14ac:dyDescent="0.3">
      <c r="B121" s="99" t="s">
        <v>169</v>
      </c>
      <c r="C121" s="99"/>
      <c r="D121" s="99" t="s">
        <v>170</v>
      </c>
      <c r="E121" s="106">
        <v>2100</v>
      </c>
      <c r="F121" s="113">
        <v>348</v>
      </c>
      <c r="G121" s="118"/>
      <c r="H121" s="108">
        <v>1.98</v>
      </c>
      <c r="I121" s="109"/>
      <c r="J121" s="99"/>
      <c r="K121" s="110">
        <v>0.25</v>
      </c>
    </row>
    <row r="122" spans="1:15" x14ac:dyDescent="0.3">
      <c r="B122" s="99" t="s">
        <v>171</v>
      </c>
      <c r="C122" s="99"/>
      <c r="D122" s="99" t="s">
        <v>172</v>
      </c>
      <c r="E122" s="106">
        <v>1267</v>
      </c>
      <c r="F122" s="113">
        <f>3.4+136.5</f>
        <v>139.9</v>
      </c>
      <c r="G122" s="118"/>
      <c r="H122" s="108">
        <v>0.98</v>
      </c>
      <c r="I122" s="109"/>
      <c r="J122" s="99"/>
      <c r="K122" s="111">
        <f>K121</f>
        <v>0.25</v>
      </c>
    </row>
    <row r="123" spans="1:15" x14ac:dyDescent="0.3">
      <c r="B123" s="99" t="s">
        <v>173</v>
      </c>
      <c r="C123" s="99"/>
      <c r="D123" s="99" t="s">
        <v>174</v>
      </c>
      <c r="E123" s="106">
        <v>7922</v>
      </c>
      <c r="F123" s="113">
        <v>1940.7</v>
      </c>
      <c r="G123" s="118"/>
      <c r="H123" s="108">
        <v>1.67</v>
      </c>
      <c r="I123" s="109"/>
      <c r="J123" s="99"/>
      <c r="K123" s="111">
        <f t="shared" ref="K123:K126" si="38">K122</f>
        <v>0.25</v>
      </c>
    </row>
    <row r="124" spans="1:15" x14ac:dyDescent="0.3">
      <c r="B124" s="99" t="s">
        <v>175</v>
      </c>
      <c r="C124" s="99"/>
      <c r="D124" s="99" t="s">
        <v>176</v>
      </c>
      <c r="E124" s="106">
        <v>1619</v>
      </c>
      <c r="F124" s="113">
        <f>121+3691</f>
        <v>3812</v>
      </c>
      <c r="G124" s="118"/>
      <c r="H124" s="108">
        <v>1.8</v>
      </c>
      <c r="I124" s="109"/>
      <c r="J124" s="99"/>
      <c r="K124" s="111">
        <f t="shared" si="38"/>
        <v>0.25</v>
      </c>
    </row>
    <row r="125" spans="1:15" x14ac:dyDescent="0.3">
      <c r="B125" s="99" t="s">
        <v>177</v>
      </c>
      <c r="C125" s="99"/>
      <c r="D125" s="99" t="s">
        <v>178</v>
      </c>
      <c r="E125" s="106">
        <v>2618</v>
      </c>
      <c r="F125" s="113">
        <f>20+1873</f>
        <v>1893</v>
      </c>
      <c r="G125" s="118"/>
      <c r="H125" s="108">
        <v>2.0499999999999998</v>
      </c>
      <c r="I125" s="109"/>
      <c r="J125" s="99"/>
      <c r="K125" s="111">
        <f t="shared" si="38"/>
        <v>0.25</v>
      </c>
    </row>
    <row r="126" spans="1:15" x14ac:dyDescent="0.3">
      <c r="B126" s="99" t="s">
        <v>179</v>
      </c>
      <c r="C126" s="99"/>
      <c r="D126" s="99" t="s">
        <v>180</v>
      </c>
      <c r="E126" s="106">
        <v>8673</v>
      </c>
      <c r="F126" s="113">
        <f>13+1941</f>
        <v>1954</v>
      </c>
      <c r="G126" s="118"/>
      <c r="H126" s="108">
        <v>1.4</v>
      </c>
      <c r="I126" s="109"/>
      <c r="J126" s="99"/>
      <c r="K126" s="111">
        <f t="shared" si="38"/>
        <v>0.25</v>
      </c>
    </row>
    <row r="127" spans="1:15" x14ac:dyDescent="0.3"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1:15" x14ac:dyDescent="0.3">
      <c r="B128" s="99" t="s">
        <v>181</v>
      </c>
      <c r="C128" s="99"/>
      <c r="D128" s="99"/>
      <c r="E128" s="99"/>
      <c r="F128" s="99"/>
      <c r="G128" s="99"/>
      <c r="H128" s="99"/>
      <c r="I128" s="109"/>
      <c r="J128" s="99"/>
      <c r="K128" s="109"/>
      <c r="L128" s="99"/>
      <c r="M128" s="99"/>
    </row>
    <row r="129" spans="2:13" x14ac:dyDescent="0.3">
      <c r="B129" s="99" t="s">
        <v>192</v>
      </c>
      <c r="C129" s="99"/>
      <c r="D129" s="99"/>
      <c r="E129" s="99"/>
      <c r="F129" s="99"/>
      <c r="G129" s="99"/>
      <c r="H129" s="99"/>
      <c r="I129" s="109"/>
      <c r="J129" s="99"/>
      <c r="K129" s="109"/>
      <c r="L129" s="99"/>
      <c r="M129" s="99"/>
    </row>
    <row r="130" spans="2:13" x14ac:dyDescent="0.3">
      <c r="B130" s="99" t="s">
        <v>182</v>
      </c>
      <c r="C130" s="99"/>
      <c r="D130" s="99"/>
      <c r="E130" s="99"/>
      <c r="F130" s="99"/>
      <c r="G130" s="99"/>
      <c r="H130" s="99"/>
      <c r="I130" s="117"/>
      <c r="J130" s="99"/>
      <c r="K130" s="107"/>
      <c r="L130" s="99"/>
      <c r="M130" s="99"/>
    </row>
    <row r="131" spans="2:13" x14ac:dyDescent="0.3">
      <c r="B131" s="99" t="s">
        <v>183</v>
      </c>
      <c r="C131" s="99"/>
      <c r="D131" s="99"/>
      <c r="E131" s="99"/>
      <c r="F131" s="99"/>
      <c r="G131" s="99"/>
      <c r="H131" s="99"/>
      <c r="I131" s="111"/>
      <c r="J131" s="99"/>
      <c r="L131" s="99"/>
      <c r="M131" s="99"/>
    </row>
    <row r="132" spans="2:13" x14ac:dyDescent="0.3">
      <c r="B132" s="98" t="s">
        <v>184</v>
      </c>
      <c r="C132" s="99"/>
      <c r="D132" s="99"/>
      <c r="E132" s="99"/>
      <c r="F132" s="99"/>
      <c r="G132" s="99"/>
      <c r="H132" s="99"/>
      <c r="I132" s="109"/>
      <c r="J132" s="99"/>
      <c r="K132" s="112"/>
      <c r="L132" s="99"/>
      <c r="M132" s="99"/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I1" sqref="I1"/>
    </sheetView>
  </sheetViews>
  <sheetFormatPr defaultRowHeight="12.5" x14ac:dyDescent="0.25"/>
  <sheetData>
    <row r="1" spans="1:9" x14ac:dyDescent="0.25">
      <c r="A1" t="s">
        <v>186</v>
      </c>
      <c r="B1" s="115" t="s">
        <v>187</v>
      </c>
      <c r="C1" s="115" t="s">
        <v>188</v>
      </c>
      <c r="D1" s="115" t="s">
        <v>189</v>
      </c>
      <c r="E1" s="115" t="s">
        <v>190</v>
      </c>
      <c r="H1" s="115" t="s">
        <v>191</v>
      </c>
      <c r="I1">
        <f>SLOPE(D3:D37,E3:E37)</f>
        <v>0.95797653325413645</v>
      </c>
    </row>
    <row r="2" spans="1:9" x14ac:dyDescent="0.25">
      <c r="A2" s="114">
        <v>42461</v>
      </c>
      <c r="B2">
        <v>15.099665</v>
      </c>
      <c r="C2">
        <v>194.592209</v>
      </c>
    </row>
    <row r="3" spans="1:9" x14ac:dyDescent="0.25">
      <c r="A3" s="114">
        <v>42491</v>
      </c>
      <c r="B3">
        <v>15.695838999999999</v>
      </c>
      <c r="C3">
        <v>197.90252699999999</v>
      </c>
      <c r="D3" s="116">
        <f>B3/B2-1</f>
        <v>3.9482597792732443E-2</v>
      </c>
      <c r="E3" s="116">
        <f>C3/C2-1</f>
        <v>1.7011564938861357E-2</v>
      </c>
    </row>
    <row r="4" spans="1:9" x14ac:dyDescent="0.25">
      <c r="A4" s="114">
        <v>42522</v>
      </c>
      <c r="B4">
        <v>14.626098000000001</v>
      </c>
      <c r="C4">
        <v>197.56294299999999</v>
      </c>
      <c r="D4" s="116">
        <f t="shared" ref="D4:D37" si="0">B4/B3-1</f>
        <v>-6.8154432521893127E-2</v>
      </c>
      <c r="E4" s="116">
        <f t="shared" ref="E4:E37" si="1">C4/C3-1</f>
        <v>-1.7159154314386749E-3</v>
      </c>
    </row>
    <row r="5" spans="1:9" x14ac:dyDescent="0.25">
      <c r="A5" s="114">
        <v>42552</v>
      </c>
      <c r="B5">
        <v>16.727715</v>
      </c>
      <c r="C5">
        <v>205.833664</v>
      </c>
      <c r="D5" s="116">
        <f t="shared" si="0"/>
        <v>0.14368951992527323</v>
      </c>
      <c r="E5" s="116">
        <f t="shared" si="1"/>
        <v>4.1863726437806781E-2</v>
      </c>
    </row>
    <row r="6" spans="1:9" x14ac:dyDescent="0.25">
      <c r="A6" s="114">
        <v>42583</v>
      </c>
      <c r="B6">
        <v>16.939993000000001</v>
      </c>
      <c r="C6">
        <v>206.08012400000001</v>
      </c>
      <c r="D6" s="116">
        <f t="shared" si="0"/>
        <v>1.2690197077126264E-2</v>
      </c>
      <c r="E6" s="116">
        <f t="shared" si="1"/>
        <v>1.1973745946629588E-3</v>
      </c>
    </row>
    <row r="7" spans="1:9" x14ac:dyDescent="0.25">
      <c r="A7" s="114">
        <v>42614</v>
      </c>
      <c r="B7">
        <v>16.720984000000001</v>
      </c>
      <c r="C7">
        <v>205.056274</v>
      </c>
      <c r="D7" s="116">
        <f t="shared" si="0"/>
        <v>-1.2928517739056899E-2</v>
      </c>
      <c r="E7" s="116">
        <f t="shared" si="1"/>
        <v>-4.9682132372941279E-3</v>
      </c>
    </row>
    <row r="8" spans="1:9" x14ac:dyDescent="0.25">
      <c r="A8" s="114">
        <v>42644</v>
      </c>
      <c r="B8">
        <v>16.102035999999998</v>
      </c>
      <c r="C8">
        <v>202.51916499999999</v>
      </c>
      <c r="D8" s="116">
        <f t="shared" si="0"/>
        <v>-3.7016242584766768E-2</v>
      </c>
      <c r="E8" s="116">
        <f t="shared" si="1"/>
        <v>-1.2372745054365031E-2</v>
      </c>
    </row>
    <row r="9" spans="1:9" x14ac:dyDescent="0.25">
      <c r="A9" s="114">
        <v>42675</v>
      </c>
      <c r="B9">
        <v>17.697512</v>
      </c>
      <c r="C9">
        <v>209.979645</v>
      </c>
      <c r="D9" s="116">
        <f t="shared" si="0"/>
        <v>9.9085357901323778E-2</v>
      </c>
      <c r="E9" s="116">
        <f t="shared" si="1"/>
        <v>3.6838390085205175E-2</v>
      </c>
    </row>
    <row r="10" spans="1:9" x14ac:dyDescent="0.25">
      <c r="A10" s="114">
        <v>42705</v>
      </c>
      <c r="B10">
        <v>18.846077000000001</v>
      </c>
      <c r="C10">
        <v>212.98095699999999</v>
      </c>
      <c r="D10" s="116">
        <f t="shared" si="0"/>
        <v>6.4899800604740543E-2</v>
      </c>
      <c r="E10" s="116">
        <f t="shared" si="1"/>
        <v>1.4293347338500295E-2</v>
      </c>
    </row>
    <row r="11" spans="1:9" x14ac:dyDescent="0.25">
      <c r="A11" s="114">
        <v>42736</v>
      </c>
      <c r="B11">
        <v>19.994641999999999</v>
      </c>
      <c r="C11">
        <v>218.06991600000001</v>
      </c>
      <c r="D11" s="116">
        <f t="shared" si="0"/>
        <v>6.0944513810486711E-2</v>
      </c>
      <c r="E11" s="116">
        <f t="shared" si="1"/>
        <v>2.3893962501070121E-2</v>
      </c>
    </row>
    <row r="12" spans="1:9" x14ac:dyDescent="0.25">
      <c r="A12" s="114">
        <v>42767</v>
      </c>
      <c r="B12">
        <v>20.218413999999999</v>
      </c>
      <c r="C12">
        <v>226.638229</v>
      </c>
      <c r="D12" s="116">
        <f t="shared" si="0"/>
        <v>1.1191598229165711E-2</v>
      </c>
      <c r="E12" s="116">
        <f t="shared" si="1"/>
        <v>3.9291586648751542E-2</v>
      </c>
    </row>
    <row r="13" spans="1:9" x14ac:dyDescent="0.25">
      <c r="A13" s="114">
        <v>42795</v>
      </c>
      <c r="B13">
        <v>20.506837999999998</v>
      </c>
      <c r="C13">
        <v>225.93858299999999</v>
      </c>
      <c r="D13" s="116">
        <f t="shared" si="0"/>
        <v>1.4265411718248577E-2</v>
      </c>
      <c r="E13" s="116">
        <f t="shared" si="1"/>
        <v>-3.087060832971833E-3</v>
      </c>
    </row>
    <row r="14" spans="1:9" x14ac:dyDescent="0.25">
      <c r="A14" s="114">
        <v>42826</v>
      </c>
      <c r="B14">
        <v>19.853081</v>
      </c>
      <c r="C14">
        <v>229.17396500000001</v>
      </c>
      <c r="D14" s="116">
        <f t="shared" si="0"/>
        <v>-3.1879951458142819E-2</v>
      </c>
      <c r="E14" s="116">
        <f t="shared" si="1"/>
        <v>1.4319741042192913E-2</v>
      </c>
    </row>
    <row r="15" spans="1:9" x14ac:dyDescent="0.25">
      <c r="A15" s="114">
        <v>42856</v>
      </c>
      <c r="B15">
        <v>18.328347999999998</v>
      </c>
      <c r="C15">
        <v>232.408264</v>
      </c>
      <c r="D15" s="116">
        <f t="shared" si="0"/>
        <v>-7.6800825020559849E-2</v>
      </c>
      <c r="E15" s="116">
        <f t="shared" si="1"/>
        <v>1.4112855271321889E-2</v>
      </c>
    </row>
    <row r="16" spans="1:9" x14ac:dyDescent="0.25">
      <c r="A16" s="114">
        <v>42887</v>
      </c>
      <c r="B16">
        <v>18.318691000000001</v>
      </c>
      <c r="C16">
        <v>232.75483700000001</v>
      </c>
      <c r="D16" s="116">
        <f t="shared" si="0"/>
        <v>-5.2688872996065061E-4</v>
      </c>
      <c r="E16" s="116">
        <f t="shared" si="1"/>
        <v>1.4912249419840595E-3</v>
      </c>
    </row>
    <row r="17" spans="1:5" x14ac:dyDescent="0.25">
      <c r="A17" s="114">
        <v>42917</v>
      </c>
      <c r="B17">
        <v>16.435645999999998</v>
      </c>
      <c r="C17">
        <v>238.697281</v>
      </c>
      <c r="D17" s="116">
        <f t="shared" si="0"/>
        <v>-0.10279364393449308</v>
      </c>
      <c r="E17" s="116">
        <f t="shared" si="1"/>
        <v>2.5530915174922786E-2</v>
      </c>
    </row>
    <row r="18" spans="1:5" x14ac:dyDescent="0.25">
      <c r="A18" s="114">
        <v>42948</v>
      </c>
      <c r="B18">
        <v>17.736221</v>
      </c>
      <c r="C18">
        <v>239.39373800000001</v>
      </c>
      <c r="D18" s="116">
        <f t="shared" si="0"/>
        <v>7.9131358755232473E-2</v>
      </c>
      <c r="E18" s="116">
        <f t="shared" si="1"/>
        <v>2.9177416562193859E-3</v>
      </c>
    </row>
    <row r="19" spans="1:5" x14ac:dyDescent="0.25">
      <c r="A19" s="114">
        <v>42979</v>
      </c>
      <c r="B19">
        <v>19.221520999999999</v>
      </c>
      <c r="C19">
        <v>243.011368</v>
      </c>
      <c r="D19" s="116">
        <f t="shared" si="0"/>
        <v>8.3743882081757981E-2</v>
      </c>
      <c r="E19" s="116">
        <f t="shared" si="1"/>
        <v>1.5111631700241102E-2</v>
      </c>
    </row>
    <row r="20" spans="1:5" x14ac:dyDescent="0.25">
      <c r="A20" s="114">
        <v>43009</v>
      </c>
      <c r="B20">
        <v>18.842915999999999</v>
      </c>
      <c r="C20">
        <v>249.97212200000001</v>
      </c>
      <c r="D20" s="116">
        <f t="shared" si="0"/>
        <v>-1.9696932412372581E-2</v>
      </c>
      <c r="E20" s="116">
        <f t="shared" si="1"/>
        <v>2.8643738181005629E-2</v>
      </c>
    </row>
    <row r="21" spans="1:5" x14ac:dyDescent="0.25">
      <c r="A21" s="114">
        <v>43040</v>
      </c>
      <c r="B21">
        <v>19.978639999999999</v>
      </c>
      <c r="C21">
        <v>257.61276199999998</v>
      </c>
      <c r="D21" s="116">
        <f t="shared" si="0"/>
        <v>6.0273261314756077E-2</v>
      </c>
      <c r="E21" s="116">
        <f t="shared" si="1"/>
        <v>3.0565968472276106E-2</v>
      </c>
    </row>
    <row r="22" spans="1:5" x14ac:dyDescent="0.25">
      <c r="A22" s="114">
        <v>43070</v>
      </c>
      <c r="B22">
        <v>20.437131999999998</v>
      </c>
      <c r="C22">
        <v>259.41110200000003</v>
      </c>
      <c r="D22" s="116">
        <f t="shared" si="0"/>
        <v>2.2949109649105237E-2</v>
      </c>
      <c r="E22" s="116">
        <f t="shared" si="1"/>
        <v>6.9807876987089124E-3</v>
      </c>
    </row>
    <row r="23" spans="1:5" x14ac:dyDescent="0.25">
      <c r="A23" s="114">
        <v>43101</v>
      </c>
      <c r="B23">
        <v>23.100301999999999</v>
      </c>
      <c r="C23">
        <v>275.432007</v>
      </c>
      <c r="D23" s="116">
        <f t="shared" si="0"/>
        <v>0.13031035861587625</v>
      </c>
      <c r="E23" s="116">
        <f t="shared" si="1"/>
        <v>6.1758748474843417E-2</v>
      </c>
    </row>
    <row r="24" spans="1:5" x14ac:dyDescent="0.25">
      <c r="A24" s="114">
        <v>43132</v>
      </c>
      <c r="B24">
        <v>22.257764999999999</v>
      </c>
      <c r="C24">
        <v>265.41717499999999</v>
      </c>
      <c r="D24" s="116">
        <f t="shared" si="0"/>
        <v>-3.6472986370481242E-2</v>
      </c>
      <c r="E24" s="116">
        <f t="shared" si="1"/>
        <v>-3.6360451020494566E-2</v>
      </c>
    </row>
    <row r="25" spans="1:5" x14ac:dyDescent="0.25">
      <c r="A25" s="114">
        <v>43160</v>
      </c>
      <c r="B25">
        <v>22.561589999999999</v>
      </c>
      <c r="C25">
        <v>257.11218300000002</v>
      </c>
      <c r="D25" s="116">
        <f t="shared" si="0"/>
        <v>1.3650292381108375E-2</v>
      </c>
      <c r="E25" s="116">
        <f t="shared" si="1"/>
        <v>-3.1290333792453273E-2</v>
      </c>
    </row>
    <row r="26" spans="1:5" x14ac:dyDescent="0.25">
      <c r="A26" s="114">
        <v>43191</v>
      </c>
      <c r="B26">
        <v>22.287167</v>
      </c>
      <c r="C26">
        <v>259.47607399999998</v>
      </c>
      <c r="D26" s="116">
        <f t="shared" si="0"/>
        <v>-1.21632828182765E-2</v>
      </c>
      <c r="E26" s="116">
        <f t="shared" si="1"/>
        <v>9.1940061821185193E-3</v>
      </c>
    </row>
    <row r="27" spans="1:5" x14ac:dyDescent="0.25">
      <c r="A27" s="114">
        <v>43221</v>
      </c>
      <c r="B27">
        <v>23.661068</v>
      </c>
      <c r="C27">
        <v>265.783661</v>
      </c>
      <c r="D27" s="116">
        <f t="shared" si="0"/>
        <v>6.1645385436381428E-2</v>
      </c>
      <c r="E27" s="116">
        <f t="shared" si="1"/>
        <v>2.4308934934787141E-2</v>
      </c>
    </row>
    <row r="28" spans="1:5" x14ac:dyDescent="0.25">
      <c r="A28" s="114">
        <v>43252</v>
      </c>
      <c r="B28">
        <v>22.666574000000001</v>
      </c>
      <c r="C28">
        <v>266.11721799999998</v>
      </c>
      <c r="D28" s="116">
        <f t="shared" si="0"/>
        <v>-4.2030816191390818E-2</v>
      </c>
      <c r="E28" s="116">
        <f t="shared" si="1"/>
        <v>1.2549943767987681E-3</v>
      </c>
    </row>
    <row r="29" spans="1:5" x14ac:dyDescent="0.25">
      <c r="A29" s="114">
        <v>43282</v>
      </c>
      <c r="B29">
        <v>22.843810999999999</v>
      </c>
      <c r="C29">
        <v>277.215149</v>
      </c>
      <c r="D29" s="116">
        <f t="shared" si="0"/>
        <v>7.8193113789493118E-3</v>
      </c>
      <c r="E29" s="116">
        <f t="shared" si="1"/>
        <v>4.1703167812313424E-2</v>
      </c>
    </row>
    <row r="30" spans="1:5" x14ac:dyDescent="0.25">
      <c r="A30" s="114">
        <v>43313</v>
      </c>
      <c r="B30">
        <v>23.132650000000002</v>
      </c>
      <c r="C30">
        <v>286.06384300000002</v>
      </c>
      <c r="D30" s="116">
        <f t="shared" si="0"/>
        <v>1.2644081147405783E-2</v>
      </c>
      <c r="E30" s="116">
        <f t="shared" si="1"/>
        <v>3.1919951099065091E-2</v>
      </c>
    </row>
    <row r="31" spans="1:5" x14ac:dyDescent="0.25">
      <c r="A31" s="114">
        <v>43344</v>
      </c>
      <c r="B31">
        <v>21.232963999999999</v>
      </c>
      <c r="C31">
        <v>286.46786500000002</v>
      </c>
      <c r="D31" s="116">
        <f t="shared" si="0"/>
        <v>-8.2121417131197805E-2</v>
      </c>
      <c r="E31" s="116">
        <f t="shared" si="1"/>
        <v>1.4123490608353162E-3</v>
      </c>
    </row>
    <row r="32" spans="1:5" x14ac:dyDescent="0.25">
      <c r="A32" s="114">
        <v>43374</v>
      </c>
      <c r="B32">
        <v>20.827300999999999</v>
      </c>
      <c r="C32">
        <v>267.87887599999999</v>
      </c>
      <c r="D32" s="116">
        <f t="shared" si="0"/>
        <v>-1.9105340168240281E-2</v>
      </c>
      <c r="E32" s="116">
        <f t="shared" si="1"/>
        <v>-6.4890311518885468E-2</v>
      </c>
    </row>
    <row r="33" spans="1:5" x14ac:dyDescent="0.25">
      <c r="A33" s="114">
        <v>43405</v>
      </c>
      <c r="B33">
        <v>22.398686999999999</v>
      </c>
      <c r="C33">
        <v>272.84783900000002</v>
      </c>
      <c r="D33" s="116">
        <f t="shared" si="0"/>
        <v>7.544837422765438E-2</v>
      </c>
      <c r="E33" s="116">
        <f t="shared" si="1"/>
        <v>1.8549290165007282E-2</v>
      </c>
    </row>
    <row r="34" spans="1:5" x14ac:dyDescent="0.25">
      <c r="A34" s="114">
        <v>43435</v>
      </c>
      <c r="B34">
        <v>20.101130000000001</v>
      </c>
      <c r="C34">
        <v>247.379379</v>
      </c>
      <c r="D34" s="116">
        <f t="shared" si="0"/>
        <v>-0.10257552150266658</v>
      </c>
      <c r="E34" s="116">
        <f t="shared" si="1"/>
        <v>-9.3343088562999443E-2</v>
      </c>
    </row>
    <row r="35" spans="1:5" x14ac:dyDescent="0.25">
      <c r="A35" s="114">
        <v>43466</v>
      </c>
      <c r="B35">
        <v>21.065906999999999</v>
      </c>
      <c r="C35">
        <v>268.74624599999999</v>
      </c>
      <c r="D35" s="116">
        <f t="shared" si="0"/>
        <v>4.7996157429955222E-2</v>
      </c>
      <c r="E35" s="116">
        <f t="shared" si="1"/>
        <v>8.6372870230222221E-2</v>
      </c>
    </row>
    <row r="36" spans="1:5" x14ac:dyDescent="0.25">
      <c r="A36" s="114">
        <v>43497</v>
      </c>
      <c r="B36">
        <v>20.34</v>
      </c>
      <c r="C36">
        <v>277.457855</v>
      </c>
      <c r="D36" s="116">
        <f t="shared" si="0"/>
        <v>-3.4458853350107344E-2</v>
      </c>
      <c r="E36" s="116">
        <f t="shared" si="1"/>
        <v>3.2415742097472888E-2</v>
      </c>
    </row>
    <row r="37" spans="1:5" x14ac:dyDescent="0.25">
      <c r="A37" s="114">
        <v>43525</v>
      </c>
      <c r="B37">
        <v>20.700001</v>
      </c>
      <c r="C37">
        <v>281.16156000000001</v>
      </c>
      <c r="D37" s="116">
        <f t="shared" si="0"/>
        <v>1.7699164208456297E-2</v>
      </c>
      <c r="E37" s="116">
        <f t="shared" si="1"/>
        <v>1.3348712005288199E-2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topLeftCell="A4" zoomScale="130" zoomScaleNormal="130" workbookViewId="0">
      <selection activeCell="C13" sqref="C13"/>
    </sheetView>
  </sheetViews>
  <sheetFormatPr defaultColWidth="9.1796875" defaultRowHeight="12.5" outlineLevelRow="1" x14ac:dyDescent="0.25"/>
  <cols>
    <col min="1" max="1" width="50.7265625" style="61" customWidth="1"/>
    <col min="2" max="2" width="15.26953125" style="61" customWidth="1"/>
    <col min="3" max="3" width="13" style="61" customWidth="1"/>
    <col min="4" max="199" width="12.7265625" style="61" customWidth="1"/>
    <col min="200" max="16384" width="9.1796875" style="61"/>
  </cols>
  <sheetData>
    <row r="1" spans="1:9" ht="20" x14ac:dyDescent="0.4">
      <c r="A1" s="74" t="s">
        <v>74</v>
      </c>
      <c r="B1" s="74"/>
      <c r="C1" s="74"/>
    </row>
    <row r="2" spans="1:9" ht="13" x14ac:dyDescent="0.25">
      <c r="A2" s="73" t="s">
        <v>73</v>
      </c>
      <c r="B2" s="73"/>
      <c r="C2" s="73"/>
    </row>
    <row r="6" spans="1:9" ht="13" x14ac:dyDescent="0.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 x14ac:dyDescent="0.25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 x14ac:dyDescent="0.25">
      <c r="A8" s="67" t="s">
        <v>50</v>
      </c>
      <c r="B8" s="64">
        <v>1834.063697</v>
      </c>
      <c r="C8" s="64">
        <v>1794.873</v>
      </c>
      <c r="D8" s="64">
        <v>1678.925</v>
      </c>
      <c r="E8" s="64">
        <v>1543.6179999999999</v>
      </c>
      <c r="F8" s="64">
        <v>1375.501</v>
      </c>
      <c r="G8" s="64">
        <v>1171.864</v>
      </c>
      <c r="H8" s="64">
        <v>1099.56</v>
      </c>
      <c r="I8" s="67"/>
    </row>
    <row r="9" spans="1:9" x14ac:dyDescent="0.25">
      <c r="A9" s="67" t="s">
        <v>49</v>
      </c>
      <c r="B9" s="64">
        <v>1143.5970050000001</v>
      </c>
      <c r="C9" s="64">
        <v>1100.3440000000001</v>
      </c>
      <c r="D9" s="64">
        <v>1010.473</v>
      </c>
      <c r="E9" s="64">
        <v>939.84199999999998</v>
      </c>
      <c r="F9" s="64">
        <v>836.61099999999999</v>
      </c>
      <c r="G9" s="64">
        <v>741.13099999999997</v>
      </c>
      <c r="H9" s="64">
        <v>726.74099999999999</v>
      </c>
      <c r="I9" s="67"/>
    </row>
    <row r="10" spans="1:9" x14ac:dyDescent="0.25">
      <c r="A10" s="67" t="s">
        <v>71</v>
      </c>
      <c r="B10" s="64">
        <v>690.46669199999997</v>
      </c>
      <c r="C10" s="64">
        <v>694.52800000000002</v>
      </c>
      <c r="D10" s="64">
        <v>668.452</v>
      </c>
      <c r="E10" s="64">
        <v>603.77599999999995</v>
      </c>
      <c r="F10" s="64">
        <v>538.89</v>
      </c>
      <c r="G10" s="64">
        <v>430.733</v>
      </c>
      <c r="H10" s="64">
        <v>372.81900000000002</v>
      </c>
      <c r="I10" s="67"/>
    </row>
    <row r="11" spans="1:9" x14ac:dyDescent="0.25">
      <c r="A11" s="67" t="s">
        <v>47</v>
      </c>
      <c r="B11" s="64">
        <v>107.134862</v>
      </c>
      <c r="C11" s="64">
        <v>99.725999999999999</v>
      </c>
      <c r="D11" s="64">
        <v>94.238</v>
      </c>
      <c r="E11" s="64">
        <v>88.393000000000001</v>
      </c>
      <c r="F11" s="64">
        <v>84.176000000000002</v>
      </c>
      <c r="G11" s="64">
        <v>76.495000000000005</v>
      </c>
      <c r="H11" s="64">
        <v>85.004000000000005</v>
      </c>
      <c r="I11" s="67"/>
    </row>
    <row r="12" spans="1:9" x14ac:dyDescent="0.25">
      <c r="A12" s="67" t="s">
        <v>46</v>
      </c>
      <c r="B12" s="64">
        <v>75.206282999999999</v>
      </c>
      <c r="C12" s="64">
        <v>71.442999999999998</v>
      </c>
      <c r="D12" s="64">
        <v>62.470999999999997</v>
      </c>
      <c r="E12" s="64">
        <v>56.616999999999997</v>
      </c>
      <c r="F12" s="64">
        <v>55.88</v>
      </c>
      <c r="G12" s="64">
        <v>49.496000000000002</v>
      </c>
      <c r="H12" s="64">
        <v>48.36</v>
      </c>
      <c r="I12" s="67"/>
    </row>
    <row r="13" spans="1:9" x14ac:dyDescent="0.25">
      <c r="A13" s="67" t="s">
        <v>70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5</v>
      </c>
      <c r="I13" s="67"/>
    </row>
    <row r="14" spans="1:9" x14ac:dyDescent="0.25">
      <c r="A14" s="67" t="s">
        <v>69</v>
      </c>
      <c r="B14" s="64">
        <v>182.34114500000001</v>
      </c>
      <c r="C14" s="64">
        <v>171.17</v>
      </c>
      <c r="D14" s="64">
        <v>156.709</v>
      </c>
      <c r="E14" s="64">
        <v>145.01</v>
      </c>
      <c r="F14" s="64">
        <v>140.05600000000001</v>
      </c>
      <c r="G14" s="64">
        <v>125.991</v>
      </c>
      <c r="H14" s="64">
        <v>138.363</v>
      </c>
      <c r="I14" s="67"/>
    </row>
    <row r="15" spans="1:9" ht="13" x14ac:dyDescent="0.3">
      <c r="A15" s="69" t="s">
        <v>68</v>
      </c>
      <c r="B15" s="68">
        <v>508.12554699999998</v>
      </c>
      <c r="C15" s="68">
        <v>523.35799999999995</v>
      </c>
      <c r="D15" s="68">
        <v>511.74299999999999</v>
      </c>
      <c r="E15" s="68">
        <v>458.76600000000002</v>
      </c>
      <c r="F15" s="68">
        <v>398.834</v>
      </c>
      <c r="G15" s="68">
        <v>304.74200000000002</v>
      </c>
      <c r="H15" s="68">
        <v>234.45500000000001</v>
      </c>
      <c r="I15" s="67"/>
    </row>
    <row r="16" spans="1:9" x14ac:dyDescent="0.25">
      <c r="A16" s="67"/>
      <c r="B16" s="64"/>
      <c r="C16" s="64"/>
      <c r="D16" s="64"/>
      <c r="E16" s="64"/>
      <c r="F16" s="64"/>
      <c r="G16" s="64"/>
      <c r="H16" s="64"/>
      <c r="I16" s="67"/>
    </row>
    <row r="17" spans="1:9" outlineLevel="1" x14ac:dyDescent="0.25">
      <c r="A17" s="67" t="s">
        <v>67</v>
      </c>
      <c r="B17" s="64"/>
      <c r="C17" s="64">
        <v>9.4420000000000002</v>
      </c>
      <c r="D17" s="64">
        <v>4.7869999999999999</v>
      </c>
      <c r="E17" s="64">
        <v>4.9909999999999997</v>
      </c>
      <c r="F17" s="64">
        <v>6.0170000000000003</v>
      </c>
      <c r="G17" s="64">
        <v>6.7249999999999996</v>
      </c>
      <c r="H17" s="64">
        <v>5.3070000000000004</v>
      </c>
      <c r="I17" s="67"/>
    </row>
    <row r="18" spans="1:9" outlineLevel="1" x14ac:dyDescent="0.25">
      <c r="A18" s="67" t="s">
        <v>66</v>
      </c>
      <c r="B18" s="64"/>
      <c r="C18" s="64">
        <v>-1.004</v>
      </c>
      <c r="D18" s="64">
        <v>5.9690000000000003</v>
      </c>
      <c r="E18" s="64">
        <v>0.16600000000000001</v>
      </c>
      <c r="F18" s="64">
        <v>10.476000000000001</v>
      </c>
      <c r="G18" s="64">
        <v>16.597999999999999</v>
      </c>
      <c r="H18" s="64">
        <v>9.8629999999999995</v>
      </c>
      <c r="I18" s="67"/>
    </row>
    <row r="19" spans="1:9" outlineLevel="1" x14ac:dyDescent="0.25">
      <c r="A19" s="67" t="s">
        <v>65</v>
      </c>
      <c r="B19" s="64"/>
      <c r="C19" s="64">
        <v>8.4380000000000006</v>
      </c>
      <c r="D19" s="64">
        <v>1.1819999999999999</v>
      </c>
      <c r="E19" s="64">
        <v>4.8250000000000002</v>
      </c>
      <c r="F19" s="64">
        <v>16.492000000000001</v>
      </c>
      <c r="G19" s="64">
        <v>23.321999999999999</v>
      </c>
      <c r="H19" s="64">
        <v>15.17</v>
      </c>
      <c r="I19" s="67"/>
    </row>
    <row r="20" spans="1:9" outlineLevel="1" x14ac:dyDescent="0.25">
      <c r="A20" s="67" t="s">
        <v>64</v>
      </c>
      <c r="B20" s="64"/>
      <c r="C20" s="64">
        <v>531.79700000000003</v>
      </c>
      <c r="D20" s="64">
        <v>510.56099999999998</v>
      </c>
      <c r="E20" s="64">
        <v>463.59100000000001</v>
      </c>
      <c r="F20" s="64">
        <v>415.32600000000002</v>
      </c>
      <c r="G20" s="64">
        <v>328.06400000000002</v>
      </c>
      <c r="H20" s="64">
        <v>249.626</v>
      </c>
      <c r="I20" s="67"/>
    </row>
    <row r="21" spans="1:9" outlineLevel="1" x14ac:dyDescent="0.25">
      <c r="A21" s="67" t="s">
        <v>63</v>
      </c>
      <c r="B21" s="64"/>
      <c r="C21" s="64">
        <v>133.166</v>
      </c>
      <c r="D21" s="64">
        <v>136.124</v>
      </c>
      <c r="E21" s="64">
        <v>129.38</v>
      </c>
      <c r="F21" s="64">
        <v>108.69</v>
      </c>
      <c r="G21" s="64">
        <v>95.284999999999997</v>
      </c>
      <c r="H21" s="64">
        <v>76.507999999999996</v>
      </c>
      <c r="I21" s="67"/>
    </row>
    <row r="22" spans="1:9" outlineLevel="1" x14ac:dyDescent="0.25">
      <c r="A22" s="67" t="s">
        <v>62</v>
      </c>
      <c r="B22" s="64"/>
      <c r="C22" s="64">
        <v>3.984</v>
      </c>
      <c r="D22" s="64">
        <v>3.8050000000000002</v>
      </c>
      <c r="E22" s="64">
        <v>2.9079999999999999</v>
      </c>
      <c r="F22" s="64">
        <v>2.2360000000000002</v>
      </c>
      <c r="G22" s="64">
        <v>3.2589999999999999</v>
      </c>
      <c r="H22" s="64">
        <v>2.4500000000000002</v>
      </c>
      <c r="I22" s="67"/>
    </row>
    <row r="23" spans="1:9" outlineLevel="1" x14ac:dyDescent="0.25">
      <c r="A23" s="67" t="s">
        <v>61</v>
      </c>
      <c r="B23" s="64"/>
      <c r="C23" s="64">
        <v>2.44</v>
      </c>
      <c r="D23" s="64">
        <v>0.54</v>
      </c>
      <c r="E23" s="64">
        <v>0.27600000000000002</v>
      </c>
      <c r="F23" s="64">
        <v>0.97799999999999998</v>
      </c>
      <c r="G23" s="64">
        <v>1.353</v>
      </c>
      <c r="H23" s="64">
        <v>1.238</v>
      </c>
      <c r="I23" s="67"/>
    </row>
    <row r="24" spans="1:9" outlineLevel="1" x14ac:dyDescent="0.25">
      <c r="A24" s="67" t="s">
        <v>60</v>
      </c>
      <c r="B24" s="64"/>
      <c r="C24" s="64">
        <v>139.59</v>
      </c>
      <c r="D24" s="64">
        <v>140.46899999999999</v>
      </c>
      <c r="E24" s="64">
        <v>132.56399999999999</v>
      </c>
      <c r="F24" s="64">
        <v>111.904</v>
      </c>
      <c r="G24" s="64">
        <v>99.897000000000006</v>
      </c>
      <c r="H24" s="64">
        <v>80.195999999999998</v>
      </c>
      <c r="I24" s="67"/>
    </row>
    <row r="25" spans="1:9" outlineLevel="1" x14ac:dyDescent="0.25">
      <c r="A25" s="67" t="s">
        <v>59</v>
      </c>
      <c r="B25" s="64"/>
      <c r="C25" s="64">
        <v>-14.585000000000001</v>
      </c>
      <c r="D25" s="64">
        <v>22.5</v>
      </c>
      <c r="E25" s="64">
        <v>12.558</v>
      </c>
      <c r="F25" s="64">
        <v>14.818</v>
      </c>
      <c r="G25" s="64">
        <v>5.2370000000000001</v>
      </c>
      <c r="H25" s="64">
        <v>0.84299999999999997</v>
      </c>
      <c r="I25" s="67"/>
    </row>
    <row r="26" spans="1:9" outlineLevel="1" x14ac:dyDescent="0.25">
      <c r="A26" s="67" t="s">
        <v>58</v>
      </c>
      <c r="B26" s="64"/>
      <c r="C26" s="64">
        <v>125.005</v>
      </c>
      <c r="D26" s="64">
        <v>162.96899999999999</v>
      </c>
      <c r="E26" s="64">
        <v>145.12200000000001</v>
      </c>
      <c r="F26" s="64">
        <v>126.72199999999999</v>
      </c>
      <c r="G26" s="64">
        <v>105.134</v>
      </c>
      <c r="H26" s="64">
        <v>81.039000000000001</v>
      </c>
      <c r="I26" s="67"/>
    </row>
    <row r="27" spans="1:9" ht="13" x14ac:dyDescent="0.3">
      <c r="A27" s="69" t="s">
        <v>57</v>
      </c>
      <c r="B27" s="68">
        <v>437.88309700000002</v>
      </c>
      <c r="C27" s="68">
        <v>406.79199999999997</v>
      </c>
      <c r="D27" s="68">
        <v>347.59100000000001</v>
      </c>
      <c r="E27" s="68">
        <v>318.47000000000003</v>
      </c>
      <c r="F27" s="68">
        <v>288.60500000000002</v>
      </c>
      <c r="G27" s="68">
        <v>222.93</v>
      </c>
      <c r="H27" s="68">
        <v>168.58699999999999</v>
      </c>
      <c r="I27" s="67"/>
    </row>
    <row r="28" spans="1:9" ht="13" x14ac:dyDescent="0.3">
      <c r="A28" s="69"/>
      <c r="B28" s="69"/>
      <c r="C28" s="68"/>
      <c r="D28" s="68"/>
      <c r="E28" s="68"/>
      <c r="F28" s="68"/>
      <c r="G28" s="68"/>
      <c r="H28" s="68"/>
      <c r="I28" s="67"/>
    </row>
    <row r="29" spans="1:9" x14ac:dyDescent="0.25">
      <c r="A29" s="67" t="s">
        <v>56</v>
      </c>
      <c r="B29" s="67"/>
      <c r="C29" s="64">
        <v>285.86500000000001</v>
      </c>
      <c r="D29" s="64">
        <v>288.43400000000003</v>
      </c>
      <c r="E29" s="64">
        <v>293.096</v>
      </c>
      <c r="F29" s="64">
        <v>290.952</v>
      </c>
      <c r="G29" s="64">
        <v>286.92</v>
      </c>
      <c r="H29" s="64">
        <v>286.19499999999999</v>
      </c>
      <c r="I29" s="67"/>
    </row>
    <row r="30" spans="1:9" x14ac:dyDescent="0.25">
      <c r="A30" s="67" t="s">
        <v>55</v>
      </c>
      <c r="B30" s="67"/>
      <c r="C30" s="64">
        <v>288.226</v>
      </c>
      <c r="D30" s="64">
        <v>291.072</v>
      </c>
      <c r="E30" s="64">
        <v>296.238</v>
      </c>
      <c r="F30" s="64">
        <v>294.29899999999998</v>
      </c>
      <c r="G30" s="64">
        <v>288.548</v>
      </c>
      <c r="H30" s="64">
        <v>287.93599999999998</v>
      </c>
      <c r="I30" s="67"/>
    </row>
    <row r="31" spans="1:9" x14ac:dyDescent="0.25">
      <c r="A31" s="67" t="s">
        <v>54</v>
      </c>
      <c r="B31" s="67"/>
      <c r="C31" s="64">
        <v>280.28100000000001</v>
      </c>
      <c r="D31" s="64">
        <v>287.738</v>
      </c>
      <c r="E31" s="64">
        <v>291.33800000000002</v>
      </c>
      <c r="F31" s="64">
        <v>295.24799999999999</v>
      </c>
      <c r="G31" s="64">
        <v>291.15600000000001</v>
      </c>
      <c r="H31" s="64">
        <v>286.15300000000002</v>
      </c>
      <c r="I31" s="67"/>
    </row>
    <row r="32" spans="1:9" x14ac:dyDescent="0.25">
      <c r="A32" s="67"/>
      <c r="B32" s="67"/>
      <c r="C32" s="67"/>
      <c r="D32" s="64"/>
      <c r="E32" s="64"/>
      <c r="F32" s="64"/>
      <c r="G32" s="64"/>
      <c r="H32" s="64"/>
      <c r="I32" s="67"/>
    </row>
    <row r="33" spans="1:11" x14ac:dyDescent="0.25">
      <c r="D33" s="62"/>
      <c r="E33" s="62"/>
      <c r="F33" s="62"/>
      <c r="G33" s="62"/>
      <c r="H33" s="62"/>
    </row>
    <row r="34" spans="1:11" ht="13" x14ac:dyDescent="0.25">
      <c r="D34" s="66"/>
      <c r="E34" s="66"/>
      <c r="F34" s="66"/>
      <c r="G34" s="66"/>
      <c r="H34" s="66"/>
    </row>
    <row r="35" spans="1:11" ht="13" thickBot="1" x14ac:dyDescent="0.3">
      <c r="A35" s="65"/>
      <c r="B35" s="65"/>
      <c r="C35" s="65"/>
      <c r="D35" s="64"/>
      <c r="E35" s="64"/>
      <c r="F35" s="64"/>
      <c r="G35" s="64"/>
      <c r="H35" s="64"/>
    </row>
    <row r="36" spans="1:11" ht="13" thickBot="1" x14ac:dyDescent="0.3">
      <c r="A36" s="65"/>
      <c r="B36" s="65"/>
      <c r="C36" s="65"/>
      <c r="D36" s="64"/>
      <c r="E36" s="64"/>
      <c r="F36" s="64"/>
      <c r="G36" s="64"/>
      <c r="H36" s="64"/>
      <c r="I36" s="63"/>
      <c r="K36" s="63"/>
    </row>
    <row r="37" spans="1:11" x14ac:dyDescent="0.25">
      <c r="D37" s="62"/>
      <c r="E37" s="62"/>
      <c r="F37" s="62"/>
      <c r="G37" s="62"/>
      <c r="H37" s="62"/>
    </row>
    <row r="38" spans="1:11" x14ac:dyDescent="0.25">
      <c r="D38" s="62"/>
      <c r="E38" s="62"/>
      <c r="F38" s="62"/>
      <c r="G38" s="62"/>
      <c r="H38" s="62"/>
    </row>
    <row r="39" spans="1:11" x14ac:dyDescent="0.25">
      <c r="D39" s="62"/>
      <c r="E39" s="62"/>
      <c r="F39" s="62"/>
      <c r="G39" s="62"/>
      <c r="H39" s="62"/>
    </row>
    <row r="40" spans="1:11" x14ac:dyDescent="0.25">
      <c r="D40" s="62"/>
      <c r="E40" s="62"/>
      <c r="F40" s="62"/>
      <c r="G40" s="62"/>
      <c r="H40" s="62"/>
    </row>
    <row r="41" spans="1:11" x14ac:dyDescent="0.25">
      <c r="D41" s="62"/>
      <c r="E41" s="62"/>
      <c r="F41" s="62"/>
      <c r="G41" s="62"/>
      <c r="H41" s="62"/>
    </row>
    <row r="42" spans="1:11" x14ac:dyDescent="0.25">
      <c r="D42" s="62"/>
      <c r="E42" s="62"/>
      <c r="F42" s="62"/>
      <c r="G42" s="62"/>
      <c r="H42" s="62"/>
    </row>
    <row r="43" spans="1:11" x14ac:dyDescent="0.25">
      <c r="D43" s="62"/>
      <c r="E43" s="62"/>
      <c r="F43" s="62"/>
      <c r="G43" s="62"/>
      <c r="H43" s="62"/>
    </row>
    <row r="44" spans="1:11" x14ac:dyDescent="0.25">
      <c r="D44" s="62"/>
      <c r="E44" s="62"/>
      <c r="F44" s="62"/>
      <c r="G44" s="62"/>
      <c r="H44" s="62"/>
    </row>
    <row r="45" spans="1:11" x14ac:dyDescent="0.25">
      <c r="D45" s="62"/>
      <c r="E45" s="62"/>
      <c r="F45" s="62"/>
      <c r="G45" s="62"/>
      <c r="H45" s="62"/>
    </row>
    <row r="46" spans="1:11" x14ac:dyDescent="0.25">
      <c r="D46" s="62"/>
      <c r="E46" s="62"/>
      <c r="F46" s="62"/>
      <c r="G46" s="62"/>
      <c r="H46" s="6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opLeftCell="A27" zoomScale="145" zoomScaleNormal="145" workbookViewId="0">
      <selection activeCell="B48" sqref="B48"/>
    </sheetView>
  </sheetViews>
  <sheetFormatPr defaultColWidth="9.1796875" defaultRowHeight="12.5" x14ac:dyDescent="0.25"/>
  <cols>
    <col min="1" max="1" width="50.7265625" style="61" customWidth="1"/>
    <col min="2" max="2" width="11.54296875" style="61" customWidth="1"/>
    <col min="3" max="195" width="12.7265625" style="61" customWidth="1"/>
    <col min="196" max="16384" width="9.1796875" style="61"/>
  </cols>
  <sheetData>
    <row r="1" spans="1:9" ht="20" x14ac:dyDescent="0.4">
      <c r="A1" s="78" t="s">
        <v>74</v>
      </c>
      <c r="B1" s="78"/>
    </row>
    <row r="2" spans="1:9" ht="13" x14ac:dyDescent="0.25">
      <c r="A2" s="73" t="s">
        <v>73</v>
      </c>
      <c r="B2" s="73"/>
    </row>
    <row r="5" spans="1:9" ht="13" x14ac:dyDescent="0.3">
      <c r="A5" s="77"/>
      <c r="B5" s="77"/>
      <c r="C5" s="72"/>
      <c r="D5" s="71" t="s">
        <v>72</v>
      </c>
      <c r="E5" s="71"/>
      <c r="F5" s="71"/>
      <c r="G5" s="71"/>
      <c r="H5" s="71"/>
    </row>
    <row r="6" spans="1:9" ht="13" x14ac:dyDescent="0.25">
      <c r="A6" s="76"/>
      <c r="B6" s="66">
        <v>2018</v>
      </c>
      <c r="C6" s="66">
        <v>2017</v>
      </c>
      <c r="D6" s="66">
        <v>2016</v>
      </c>
      <c r="E6" s="66">
        <v>2015</v>
      </c>
      <c r="F6" s="66">
        <v>2014</v>
      </c>
      <c r="G6" s="66">
        <v>2013</v>
      </c>
      <c r="H6" s="66">
        <v>2012</v>
      </c>
      <c r="I6" s="76"/>
    </row>
    <row r="7" spans="1:9" x14ac:dyDescent="0.25">
      <c r="A7" s="67" t="s">
        <v>57</v>
      </c>
      <c r="B7" s="64"/>
      <c r="C7" s="64">
        <v>406.79199999999997</v>
      </c>
      <c r="D7" s="64">
        <v>347.59100000000001</v>
      </c>
      <c r="E7" s="64">
        <v>318.47000000000003</v>
      </c>
      <c r="F7" s="64">
        <v>288.60500000000002</v>
      </c>
      <c r="G7" s="64">
        <v>222.93</v>
      </c>
      <c r="H7" s="64">
        <v>168.58699999999999</v>
      </c>
      <c r="I7" s="67"/>
    </row>
    <row r="8" spans="1:9" x14ac:dyDescent="0.25">
      <c r="A8" s="67" t="s">
        <v>109</v>
      </c>
      <c r="B8" s="64">
        <v>102.2</v>
      </c>
      <c r="C8" s="64">
        <v>99.570999999999998</v>
      </c>
      <c r="D8" s="64">
        <v>88.587000000000003</v>
      </c>
      <c r="E8" s="64">
        <v>80.599000000000004</v>
      </c>
      <c r="F8" s="64">
        <v>77.376000000000005</v>
      </c>
      <c r="G8" s="64">
        <v>62.853999999999999</v>
      </c>
      <c r="H8" s="64">
        <v>50.18</v>
      </c>
      <c r="I8" s="67"/>
    </row>
    <row r="9" spans="1:9" x14ac:dyDescent="0.25">
      <c r="A9" s="67" t="s">
        <v>108</v>
      </c>
      <c r="B9" s="64"/>
      <c r="C9" s="64">
        <v>-0.188</v>
      </c>
      <c r="D9" s="64">
        <v>-0.14599999999999999</v>
      </c>
      <c r="E9" s="64">
        <v>-1.0999999999999999E-2</v>
      </c>
      <c r="F9" s="64">
        <v>-4.3999999999999997E-2</v>
      </c>
      <c r="G9" s="64">
        <v>-5.5E-2</v>
      </c>
      <c r="H9" s="64">
        <v>-0.41899999999999998</v>
      </c>
      <c r="I9" s="67"/>
    </row>
    <row r="10" spans="1:9" x14ac:dyDescent="0.25">
      <c r="A10" s="67" t="s">
        <v>107</v>
      </c>
      <c r="B10" s="64"/>
      <c r="C10" s="64">
        <v>0.29899999999999999</v>
      </c>
      <c r="D10" s="64">
        <v>1.08</v>
      </c>
      <c r="E10" s="64">
        <v>0.45600000000000002</v>
      </c>
      <c r="F10" s="64">
        <v>0.64100000000000001</v>
      </c>
      <c r="G10" s="64">
        <v>2.1629999999999998</v>
      </c>
      <c r="H10" s="64">
        <v>0.95199999999999996</v>
      </c>
      <c r="I10" s="67"/>
    </row>
    <row r="11" spans="1:9" x14ac:dyDescent="0.25">
      <c r="A11" s="67" t="s">
        <v>106</v>
      </c>
      <c r="B11" s="64"/>
      <c r="C11" s="64">
        <v>-1.3089999999999999</v>
      </c>
      <c r="D11" s="64">
        <v>-4.24</v>
      </c>
      <c r="E11" s="64">
        <v>-9.6660000000000004</v>
      </c>
      <c r="F11" s="64">
        <v>-16.742999999999999</v>
      </c>
      <c r="G11" s="64">
        <v>-19.012</v>
      </c>
      <c r="H11" s="64">
        <v>-9.5839999999999996</v>
      </c>
      <c r="I11" s="67"/>
    </row>
    <row r="12" spans="1:9" x14ac:dyDescent="0.25">
      <c r="A12" s="67" t="s">
        <v>105</v>
      </c>
      <c r="B12" s="64"/>
      <c r="C12" s="64">
        <v>0.375</v>
      </c>
      <c r="D12" s="64">
        <v>3.92</v>
      </c>
      <c r="E12" s="64">
        <v>2.706</v>
      </c>
      <c r="F12" s="64">
        <v>1.1499999999999999</v>
      </c>
      <c r="G12" s="64">
        <v>0.88300000000000001</v>
      </c>
      <c r="H12" s="64">
        <v>1.216</v>
      </c>
      <c r="I12" s="67"/>
    </row>
    <row r="13" spans="1:9" x14ac:dyDescent="0.25">
      <c r="A13" s="67" t="s">
        <v>104</v>
      </c>
      <c r="B13" s="64"/>
      <c r="C13" s="64">
        <v>-14.996</v>
      </c>
      <c r="D13" s="64">
        <v>22.498000000000001</v>
      </c>
      <c r="E13" s="64">
        <v>13.058</v>
      </c>
      <c r="F13" s="64">
        <v>14.818</v>
      </c>
      <c r="G13" s="64">
        <v>-7.7270000000000003</v>
      </c>
      <c r="H13" s="64">
        <v>0.84299999999999997</v>
      </c>
      <c r="I13" s="67"/>
    </row>
    <row r="14" spans="1:9" x14ac:dyDescent="0.25">
      <c r="A14" s="67" t="s">
        <v>103</v>
      </c>
      <c r="B14" s="64"/>
      <c r="C14" s="64">
        <v>18.376999999999999</v>
      </c>
      <c r="D14" s="64">
        <v>19.193000000000001</v>
      </c>
      <c r="E14" s="64">
        <v>21.431000000000001</v>
      </c>
      <c r="F14" s="64">
        <v>21.277000000000001</v>
      </c>
      <c r="G14" s="64">
        <v>17.427</v>
      </c>
      <c r="H14" s="64">
        <v>16.434000000000001</v>
      </c>
      <c r="I14" s="67"/>
    </row>
    <row r="15" spans="1:9" x14ac:dyDescent="0.25">
      <c r="A15" s="67" t="s">
        <v>82</v>
      </c>
      <c r="B15" s="64"/>
      <c r="C15" s="64">
        <v>0</v>
      </c>
      <c r="D15" s="64">
        <v>-5.5830000000000002</v>
      </c>
      <c r="E15" s="64">
        <v>-2.8380000000000001</v>
      </c>
      <c r="F15" s="64">
        <v>-5.5019999999999998</v>
      </c>
      <c r="G15" s="64">
        <v>-4.4450000000000003</v>
      </c>
      <c r="H15" s="64">
        <v>-0.81599999999999995</v>
      </c>
      <c r="I15" s="67"/>
    </row>
    <row r="16" spans="1:9" x14ac:dyDescent="0.25">
      <c r="A16" s="67" t="s">
        <v>102</v>
      </c>
      <c r="B16" s="64"/>
      <c r="C16" s="64">
        <v>-19.53</v>
      </c>
      <c r="D16" s="64">
        <v>-15.622</v>
      </c>
      <c r="E16" s="64">
        <v>-27.960999999999999</v>
      </c>
      <c r="F16" s="64">
        <v>-24.962</v>
      </c>
      <c r="G16" s="64">
        <v>-22.347000000000001</v>
      </c>
      <c r="H16" s="64">
        <v>0.81</v>
      </c>
      <c r="I16" s="67"/>
    </row>
    <row r="17" spans="1:9" x14ac:dyDescent="0.25">
      <c r="A17" s="67" t="s">
        <v>101</v>
      </c>
      <c r="B17" s="64"/>
      <c r="C17" s="64">
        <v>-27.454000000000001</v>
      </c>
      <c r="D17" s="64">
        <v>-14.616</v>
      </c>
      <c r="E17" s="64">
        <v>-32.938000000000002</v>
      </c>
      <c r="F17" s="64">
        <v>-21.684000000000001</v>
      </c>
      <c r="G17" s="64">
        <v>39.856000000000002</v>
      </c>
      <c r="H17" s="64">
        <v>28.823</v>
      </c>
      <c r="I17" s="67"/>
    </row>
    <row r="18" spans="1:9" x14ac:dyDescent="0.25">
      <c r="A18" s="67" t="s">
        <v>100</v>
      </c>
      <c r="B18" s="64"/>
      <c r="C18" s="64">
        <v>16.184000000000001</v>
      </c>
      <c r="D18" s="64">
        <v>4.399</v>
      </c>
      <c r="E18" s="64">
        <v>-9.5299999999999994</v>
      </c>
      <c r="F18" s="64">
        <v>-21.946999999999999</v>
      </c>
      <c r="G18" s="64">
        <v>-2.375</v>
      </c>
      <c r="H18" s="64">
        <v>14.869</v>
      </c>
      <c r="I18" s="67"/>
    </row>
    <row r="19" spans="1:9" x14ac:dyDescent="0.25">
      <c r="A19" s="67" t="s">
        <v>99</v>
      </c>
      <c r="B19" s="64"/>
      <c r="C19" s="64">
        <v>9.9350000000000005</v>
      </c>
      <c r="D19" s="64">
        <v>13.61</v>
      </c>
      <c r="E19" s="64">
        <v>-5.1029999999999998</v>
      </c>
      <c r="F19" s="64">
        <v>14.946999999999999</v>
      </c>
      <c r="G19" s="64">
        <v>13.31</v>
      </c>
      <c r="H19" s="64">
        <v>-22.271000000000001</v>
      </c>
      <c r="I19" s="67"/>
    </row>
    <row r="20" spans="1:9" x14ac:dyDescent="0.25">
      <c r="A20" s="67" t="s">
        <v>98</v>
      </c>
      <c r="B20" s="64"/>
      <c r="C20" s="64">
        <v>12.948</v>
      </c>
      <c r="D20" s="64">
        <v>10.794</v>
      </c>
      <c r="E20" s="64">
        <v>2.9049999999999998</v>
      </c>
      <c r="F20" s="64">
        <v>-0.70799999999999996</v>
      </c>
      <c r="G20" s="64">
        <v>13.877000000000001</v>
      </c>
      <c r="H20" s="64">
        <v>8.2219999999999995</v>
      </c>
      <c r="I20" s="67"/>
    </row>
    <row r="21" spans="1:9" ht="13" x14ac:dyDescent="0.3">
      <c r="A21" s="69" t="s">
        <v>97</v>
      </c>
      <c r="B21" s="68"/>
      <c r="C21" s="68">
        <v>501.00299999999999</v>
      </c>
      <c r="D21" s="68">
        <v>471.46499999999997</v>
      </c>
      <c r="E21" s="68">
        <v>351.57799999999997</v>
      </c>
      <c r="F21" s="68">
        <v>327.22300000000001</v>
      </c>
      <c r="G21" s="68">
        <v>317.339</v>
      </c>
      <c r="H21" s="68">
        <v>257.846</v>
      </c>
      <c r="I21" s="67"/>
    </row>
    <row r="22" spans="1:9" x14ac:dyDescent="0.25">
      <c r="A22" s="67"/>
      <c r="B22" s="64"/>
      <c r="C22" s="64"/>
      <c r="D22" s="64"/>
      <c r="E22" s="64"/>
      <c r="F22" s="64"/>
      <c r="G22" s="64"/>
      <c r="H22" s="64"/>
      <c r="I22" s="67"/>
    </row>
    <row r="23" spans="1:9" x14ac:dyDescent="0.25">
      <c r="A23" s="67" t="s">
        <v>96</v>
      </c>
      <c r="B23" s="64"/>
      <c r="C23" s="64">
        <v>30.207999999999998</v>
      </c>
      <c r="D23" s="64">
        <v>87.293000000000006</v>
      </c>
      <c r="E23" s="64">
        <v>58.517000000000003</v>
      </c>
      <c r="F23" s="64">
        <v>75.614000000000004</v>
      </c>
      <c r="G23" s="64">
        <v>82.863</v>
      </c>
      <c r="H23" s="64">
        <v>38.831000000000003</v>
      </c>
      <c r="I23" s="67"/>
    </row>
    <row r="24" spans="1:9" x14ac:dyDescent="0.25">
      <c r="A24" s="67" t="s">
        <v>95</v>
      </c>
      <c r="B24" s="64"/>
      <c r="C24" s="64">
        <v>23.1</v>
      </c>
      <c r="D24" s="64">
        <v>5.5</v>
      </c>
      <c r="E24" s="64">
        <v>0</v>
      </c>
      <c r="F24" s="64">
        <v>0</v>
      </c>
      <c r="G24" s="64">
        <v>98.141999999999996</v>
      </c>
      <c r="H24" s="64">
        <v>75.652000000000001</v>
      </c>
      <c r="I24" s="67"/>
    </row>
    <row r="25" spans="1:9" x14ac:dyDescent="0.25">
      <c r="A25" s="67" t="s">
        <v>94</v>
      </c>
      <c r="B25" s="64"/>
      <c r="C25" s="64">
        <v>-29.875</v>
      </c>
      <c r="D25" s="64">
        <v>-216.67099999999999</v>
      </c>
      <c r="E25" s="64">
        <v>-47.514000000000003</v>
      </c>
      <c r="F25" s="64">
        <v>-80.887</v>
      </c>
      <c r="G25" s="64">
        <v>-60.542999999999999</v>
      </c>
      <c r="H25" s="64">
        <v>-112.545</v>
      </c>
      <c r="I25" s="67"/>
    </row>
    <row r="26" spans="1:9" x14ac:dyDescent="0.25">
      <c r="A26" s="67" t="s">
        <v>93</v>
      </c>
      <c r="B26" s="64">
        <v>-85.99</v>
      </c>
      <c r="C26" s="64">
        <v>-104.041</v>
      </c>
      <c r="D26" s="64">
        <v>-120.956</v>
      </c>
      <c r="E26" s="64">
        <v>-97.941999999999993</v>
      </c>
      <c r="F26" s="64">
        <v>-72.519000000000005</v>
      </c>
      <c r="G26" s="64">
        <v>-55.38</v>
      </c>
      <c r="H26" s="64">
        <v>-117.474</v>
      </c>
      <c r="I26" s="67"/>
    </row>
    <row r="27" spans="1:9" x14ac:dyDescent="0.25">
      <c r="A27" s="67" t="s">
        <v>92</v>
      </c>
      <c r="B27" s="64"/>
      <c r="C27" s="64">
        <v>0.25</v>
      </c>
      <c r="D27" s="64">
        <v>0.66500000000000004</v>
      </c>
      <c r="E27" s="64">
        <v>4.3999999999999997E-2</v>
      </c>
      <c r="F27" s="64">
        <v>0.224</v>
      </c>
      <c r="G27" s="64">
        <v>0.38600000000000001</v>
      </c>
      <c r="H27" s="64">
        <v>1.0649999999999999</v>
      </c>
      <c r="I27" s="67"/>
    </row>
    <row r="28" spans="1:9" x14ac:dyDescent="0.25">
      <c r="A28" s="67" t="s">
        <v>91</v>
      </c>
      <c r="B28" s="64"/>
      <c r="C28" s="64">
        <v>0</v>
      </c>
      <c r="D28" s="64">
        <v>0</v>
      </c>
      <c r="E28" s="64">
        <v>0</v>
      </c>
      <c r="F28" s="64">
        <v>0</v>
      </c>
      <c r="G28" s="64">
        <v>-698.15099999999995</v>
      </c>
      <c r="H28" s="64">
        <v>0</v>
      </c>
      <c r="I28" s="67"/>
    </row>
    <row r="29" spans="1:9" x14ac:dyDescent="0.25">
      <c r="A29" s="67" t="s">
        <v>90</v>
      </c>
      <c r="B29" s="64"/>
      <c r="C29" s="64">
        <v>2.6459999999999999</v>
      </c>
      <c r="D29" s="64">
        <v>-7.2779999999999996</v>
      </c>
      <c r="E29" s="64">
        <v>-2.843</v>
      </c>
      <c r="F29" s="64">
        <v>-2.145</v>
      </c>
      <c r="G29" s="64">
        <v>-0.57399999999999995</v>
      </c>
      <c r="H29" s="64">
        <v>-17.602</v>
      </c>
      <c r="I29" s="67"/>
    </row>
    <row r="30" spans="1:9" ht="13" x14ac:dyDescent="0.3">
      <c r="A30" s="69" t="s">
        <v>89</v>
      </c>
      <c r="B30" s="68"/>
      <c r="C30" s="68">
        <v>-77.712999999999994</v>
      </c>
      <c r="D30" s="68">
        <v>-251.446</v>
      </c>
      <c r="E30" s="68">
        <v>-89.738</v>
      </c>
      <c r="F30" s="68">
        <v>-79.712999999999994</v>
      </c>
      <c r="G30" s="68">
        <v>-633.25699999999995</v>
      </c>
      <c r="H30" s="68">
        <v>-132.07400000000001</v>
      </c>
      <c r="I30" s="67"/>
    </row>
    <row r="31" spans="1:9" x14ac:dyDescent="0.25">
      <c r="A31" s="67"/>
      <c r="B31" s="64"/>
      <c r="C31" s="64"/>
      <c r="D31" s="64"/>
      <c r="E31" s="64"/>
      <c r="F31" s="64"/>
      <c r="G31" s="64"/>
      <c r="H31" s="64"/>
      <c r="I31" s="67"/>
    </row>
    <row r="32" spans="1:9" x14ac:dyDescent="0.25">
      <c r="A32" s="67" t="s">
        <v>88</v>
      </c>
      <c r="B32" s="64"/>
      <c r="C32" s="64">
        <v>0</v>
      </c>
      <c r="D32" s="64">
        <v>0</v>
      </c>
      <c r="E32" s="64">
        <v>0</v>
      </c>
      <c r="F32" s="64">
        <v>0</v>
      </c>
      <c r="G32" s="64">
        <v>275</v>
      </c>
      <c r="H32" s="64">
        <v>0</v>
      </c>
      <c r="I32" s="67"/>
    </row>
    <row r="33" spans="1:9" x14ac:dyDescent="0.25">
      <c r="A33" s="67" t="s">
        <v>87</v>
      </c>
      <c r="B33" s="64"/>
      <c r="C33" s="64">
        <v>-107.625</v>
      </c>
      <c r="D33" s="64">
        <v>-47.5</v>
      </c>
      <c r="E33" s="64">
        <v>-32.5</v>
      </c>
      <c r="F33" s="64">
        <v>-7.5</v>
      </c>
      <c r="G33" s="64">
        <v>-1.875</v>
      </c>
      <c r="H33" s="64">
        <v>0</v>
      </c>
      <c r="I33" s="67"/>
    </row>
    <row r="34" spans="1:9" x14ac:dyDescent="0.25">
      <c r="A34" s="67" t="s">
        <v>86</v>
      </c>
      <c r="B34" s="64"/>
      <c r="C34" s="64">
        <v>0</v>
      </c>
      <c r="D34" s="64">
        <v>0</v>
      </c>
      <c r="E34" s="64">
        <v>0</v>
      </c>
      <c r="F34" s="64">
        <v>0</v>
      </c>
      <c r="G34" s="64">
        <v>-0.95599999999999996</v>
      </c>
      <c r="H34" s="64">
        <v>0</v>
      </c>
      <c r="I34" s="67"/>
    </row>
    <row r="35" spans="1:9" x14ac:dyDescent="0.25">
      <c r="A35" s="67" t="s">
        <v>85</v>
      </c>
      <c r="B35" s="64"/>
      <c r="C35" s="64">
        <v>47.77</v>
      </c>
      <c r="D35" s="64">
        <v>81.31</v>
      </c>
      <c r="E35" s="64">
        <v>30.167999999999999</v>
      </c>
      <c r="F35" s="64">
        <v>59.969000000000001</v>
      </c>
      <c r="G35" s="64">
        <v>38.378</v>
      </c>
      <c r="H35" s="64">
        <v>12.209</v>
      </c>
      <c r="I35" s="67"/>
    </row>
    <row r="36" spans="1:9" x14ac:dyDescent="0.25">
      <c r="A36" s="67" t="s">
        <v>84</v>
      </c>
      <c r="B36" s="64"/>
      <c r="C36" s="64">
        <v>-108.815</v>
      </c>
      <c r="D36" s="64">
        <v>-101.131</v>
      </c>
      <c r="E36" s="64">
        <v>-96.99</v>
      </c>
      <c r="F36" s="64">
        <v>-87.632000000000005</v>
      </c>
      <c r="G36" s="64">
        <v>-79.16</v>
      </c>
      <c r="H36" s="64">
        <v>-73.388000000000005</v>
      </c>
      <c r="I36" s="67"/>
    </row>
    <row r="37" spans="1:9" x14ac:dyDescent="0.25">
      <c r="A37" s="67" t="s">
        <v>83</v>
      </c>
      <c r="B37" s="64"/>
      <c r="C37" s="64">
        <v>-231.363</v>
      </c>
      <c r="D37" s="64">
        <v>-163.36099999999999</v>
      </c>
      <c r="E37" s="64">
        <v>-111.229</v>
      </c>
      <c r="F37" s="64">
        <v>-30.010999999999999</v>
      </c>
      <c r="G37" s="64">
        <v>0</v>
      </c>
      <c r="H37" s="64">
        <v>-33.716999999999999</v>
      </c>
      <c r="I37" s="67"/>
    </row>
    <row r="38" spans="1:9" x14ac:dyDescent="0.25">
      <c r="A38" s="67" t="s">
        <v>82</v>
      </c>
      <c r="B38" s="64"/>
      <c r="C38" s="64">
        <v>0</v>
      </c>
      <c r="D38" s="64">
        <v>5.5830000000000002</v>
      </c>
      <c r="E38" s="64">
        <v>2.8380000000000001</v>
      </c>
      <c r="F38" s="64">
        <v>5.5019999999999998</v>
      </c>
      <c r="G38" s="64">
        <v>4.4450000000000003</v>
      </c>
      <c r="H38" s="64">
        <v>0.81599999999999995</v>
      </c>
      <c r="I38" s="67"/>
    </row>
    <row r="39" spans="1:9" ht="13" x14ac:dyDescent="0.3">
      <c r="A39" s="69" t="s">
        <v>81</v>
      </c>
      <c r="B39" s="68"/>
      <c r="C39" s="68">
        <v>-400.03300000000002</v>
      </c>
      <c r="D39" s="68">
        <v>-225.09899999999999</v>
      </c>
      <c r="E39" s="68">
        <v>-207.71299999999999</v>
      </c>
      <c r="F39" s="68">
        <v>-59.671999999999997</v>
      </c>
      <c r="G39" s="68">
        <v>235.83099999999999</v>
      </c>
      <c r="H39" s="68">
        <v>-94.08</v>
      </c>
      <c r="I39" s="67"/>
    </row>
    <row r="40" spans="1:9" x14ac:dyDescent="0.25">
      <c r="A40" s="67" t="s">
        <v>80</v>
      </c>
      <c r="B40" s="64"/>
      <c r="C40" s="64">
        <v>23.257000000000001</v>
      </c>
      <c r="D40" s="64">
        <v>-5.08</v>
      </c>
      <c r="E40" s="64">
        <v>54.128</v>
      </c>
      <c r="F40" s="64">
        <v>187.83799999999999</v>
      </c>
      <c r="G40" s="64">
        <v>-80.087000000000003</v>
      </c>
      <c r="H40" s="64">
        <v>31.692</v>
      </c>
      <c r="I40" s="67"/>
    </row>
    <row r="41" spans="1:9" x14ac:dyDescent="0.25">
      <c r="A41" s="67" t="s">
        <v>79</v>
      </c>
      <c r="B41" s="64"/>
      <c r="C41" s="64">
        <v>546.47699999999998</v>
      </c>
      <c r="D41" s="64">
        <v>551.55799999999999</v>
      </c>
      <c r="E41" s="64">
        <v>497.43</v>
      </c>
      <c r="F41" s="64">
        <v>309.59199999999998</v>
      </c>
      <c r="G41" s="64">
        <v>389.67899999999997</v>
      </c>
      <c r="H41" s="64">
        <v>357.98700000000002</v>
      </c>
      <c r="I41" s="67"/>
    </row>
    <row r="42" spans="1:9" x14ac:dyDescent="0.25">
      <c r="A42" s="67" t="s">
        <v>78</v>
      </c>
      <c r="B42" s="64"/>
      <c r="C42" s="64">
        <v>569.73400000000004</v>
      </c>
      <c r="D42" s="64">
        <v>546.47699999999998</v>
      </c>
      <c r="E42" s="64">
        <v>551.55799999999999</v>
      </c>
      <c r="F42" s="64">
        <v>497.43</v>
      </c>
      <c r="G42" s="64">
        <v>309.59199999999998</v>
      </c>
      <c r="H42" s="64">
        <v>389.67899999999997</v>
      </c>
      <c r="I42" s="67"/>
    </row>
    <row r="43" spans="1:9" x14ac:dyDescent="0.25">
      <c r="A43" s="67" t="s">
        <v>77</v>
      </c>
      <c r="B43" s="64"/>
      <c r="C43" s="64">
        <v>126</v>
      </c>
      <c r="D43" s="64">
        <v>144.1</v>
      </c>
      <c r="E43" s="64">
        <v>138</v>
      </c>
      <c r="F43" s="64">
        <v>128.80000000000001</v>
      </c>
      <c r="G43" s="64">
        <v>97.1</v>
      </c>
      <c r="H43" s="64">
        <v>63.350999999999999</v>
      </c>
      <c r="I43" s="67"/>
    </row>
    <row r="46" spans="1:9" ht="13" x14ac:dyDescent="0.25">
      <c r="A46" s="75" t="s">
        <v>76</v>
      </c>
      <c r="B46" s="66">
        <v>2018</v>
      </c>
      <c r="C46" s="66">
        <v>2017</v>
      </c>
      <c r="D46" s="66">
        <v>2016</v>
      </c>
      <c r="E46" s="66">
        <v>2015</v>
      </c>
      <c r="F46" s="66">
        <v>2014</v>
      </c>
      <c r="G46" s="66">
        <v>2013</v>
      </c>
      <c r="H46" s="66">
        <v>2012</v>
      </c>
    </row>
    <row r="47" spans="1:9" x14ac:dyDescent="0.25">
      <c r="A47" s="75" t="s">
        <v>75</v>
      </c>
      <c r="B47" s="62">
        <f t="shared" ref="B47:H47" si="0">B8</f>
        <v>102.2</v>
      </c>
      <c r="C47" s="62">
        <f t="shared" si="0"/>
        <v>99.570999999999998</v>
      </c>
      <c r="D47" s="62">
        <f t="shared" si="0"/>
        <v>88.587000000000003</v>
      </c>
      <c r="E47" s="62">
        <f t="shared" si="0"/>
        <v>80.599000000000004</v>
      </c>
      <c r="F47" s="62">
        <f t="shared" si="0"/>
        <v>77.376000000000005</v>
      </c>
      <c r="G47" s="62">
        <f t="shared" si="0"/>
        <v>62.853999999999999</v>
      </c>
      <c r="H47" s="62">
        <f t="shared" si="0"/>
        <v>50.18</v>
      </c>
    </row>
    <row r="48" spans="1:9" x14ac:dyDescent="0.25">
      <c r="A48" s="75" t="s">
        <v>41</v>
      </c>
      <c r="B48" s="62">
        <f t="shared" ref="B48:H48" si="1">B26</f>
        <v>-85.99</v>
      </c>
      <c r="C48" s="62">
        <f t="shared" si="1"/>
        <v>-104.041</v>
      </c>
      <c r="D48" s="62">
        <f t="shared" si="1"/>
        <v>-120.956</v>
      </c>
      <c r="E48" s="62">
        <f t="shared" si="1"/>
        <v>-97.941999999999993</v>
      </c>
      <c r="F48" s="62">
        <f t="shared" si="1"/>
        <v>-72.519000000000005</v>
      </c>
      <c r="G48" s="62">
        <f t="shared" si="1"/>
        <v>-55.38</v>
      </c>
      <c r="H48" s="62">
        <f t="shared" si="1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topLeftCell="A25" zoomScale="160" zoomScaleNormal="160" workbookViewId="0">
      <selection activeCell="B30" sqref="B30"/>
    </sheetView>
  </sheetViews>
  <sheetFormatPr defaultColWidth="9.1796875" defaultRowHeight="12.5" x14ac:dyDescent="0.25"/>
  <cols>
    <col min="1" max="1" width="50.7265625" style="61" customWidth="1"/>
    <col min="2" max="2" width="14.81640625" style="61" customWidth="1"/>
    <col min="3" max="3" width="16.7265625" style="61" customWidth="1"/>
    <col min="4" max="199" width="12.7265625" style="61" customWidth="1"/>
    <col min="200" max="16384" width="9.1796875" style="61"/>
  </cols>
  <sheetData>
    <row r="1" spans="1:9" ht="20" x14ac:dyDescent="0.4">
      <c r="A1" s="74" t="s">
        <v>74</v>
      </c>
      <c r="B1" s="74"/>
      <c r="C1" s="74"/>
    </row>
    <row r="2" spans="1:9" ht="13" x14ac:dyDescent="0.25">
      <c r="A2" s="73" t="s">
        <v>73</v>
      </c>
      <c r="B2" s="73"/>
      <c r="C2" s="73"/>
    </row>
    <row r="6" spans="1:9" ht="13" x14ac:dyDescent="0.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 x14ac:dyDescent="0.25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 x14ac:dyDescent="0.25">
      <c r="A8" s="67" t="s">
        <v>17</v>
      </c>
      <c r="B8" s="64">
        <v>217.02527799999999</v>
      </c>
      <c r="C8" s="64">
        <v>569.73400000000004</v>
      </c>
      <c r="D8" s="64">
        <v>546.47699999999998</v>
      </c>
      <c r="E8" s="64">
        <v>551.55799999999999</v>
      </c>
      <c r="F8" s="64">
        <v>497.43</v>
      </c>
      <c r="G8" s="64">
        <v>309.59199999999998</v>
      </c>
      <c r="H8" s="64">
        <v>389.67899999999997</v>
      </c>
      <c r="I8" s="67"/>
    </row>
    <row r="9" spans="1:9" x14ac:dyDescent="0.25">
      <c r="A9" s="67" t="s">
        <v>16</v>
      </c>
      <c r="B9" s="64">
        <v>169.41299900000001</v>
      </c>
      <c r="C9" s="64">
        <v>152.53800000000001</v>
      </c>
      <c r="D9" s="64">
        <v>177.02099999999999</v>
      </c>
      <c r="E9" s="64">
        <v>4.5469999999999997</v>
      </c>
      <c r="F9" s="64">
        <v>0</v>
      </c>
      <c r="G9" s="64">
        <v>0</v>
      </c>
      <c r="H9" s="64">
        <v>60.802999999999997</v>
      </c>
      <c r="I9" s="67"/>
    </row>
    <row r="10" spans="1:9" x14ac:dyDescent="0.25">
      <c r="A10" s="67" t="s">
        <v>102</v>
      </c>
      <c r="B10" s="64">
        <v>213.53779900000001</v>
      </c>
      <c r="C10" s="64">
        <v>231.12200000000001</v>
      </c>
      <c r="D10" s="64">
        <v>211.59200000000001</v>
      </c>
      <c r="E10" s="64">
        <v>195.96899999999999</v>
      </c>
      <c r="F10" s="64">
        <v>168.00899999999999</v>
      </c>
      <c r="G10" s="64">
        <v>143.047</v>
      </c>
      <c r="H10" s="64">
        <v>109.58</v>
      </c>
      <c r="I10" s="67"/>
    </row>
    <row r="11" spans="1:9" x14ac:dyDescent="0.25">
      <c r="A11" s="67" t="s">
        <v>101</v>
      </c>
      <c r="B11" s="64">
        <v>225.281599</v>
      </c>
      <c r="C11" s="64">
        <v>216.76599999999999</v>
      </c>
      <c r="D11" s="64">
        <v>189.31100000000001</v>
      </c>
      <c r="E11" s="64">
        <v>174.69499999999999</v>
      </c>
      <c r="F11" s="64">
        <v>141.75800000000001</v>
      </c>
      <c r="G11" s="64">
        <v>120.074</v>
      </c>
      <c r="H11" s="64">
        <v>159.93</v>
      </c>
      <c r="I11" s="67"/>
    </row>
    <row r="12" spans="1:9" x14ac:dyDescent="0.25">
      <c r="A12" s="67" t="s">
        <v>100</v>
      </c>
      <c r="B12" s="64">
        <v>25.672578999999999</v>
      </c>
      <c r="C12" s="64">
        <v>14.404</v>
      </c>
      <c r="D12" s="64">
        <v>30.588000000000001</v>
      </c>
      <c r="E12" s="64">
        <v>57.238999999999997</v>
      </c>
      <c r="F12" s="64">
        <v>49.441000000000003</v>
      </c>
      <c r="G12" s="64">
        <v>28.474</v>
      </c>
      <c r="H12" s="64">
        <v>24.672000000000001</v>
      </c>
      <c r="I12" s="67"/>
    </row>
    <row r="13" spans="1:9" ht="13" x14ac:dyDescent="0.3">
      <c r="A13" s="69" t="s">
        <v>18</v>
      </c>
      <c r="B13" s="68">
        <v>850.93025399999999</v>
      </c>
      <c r="C13" s="68">
        <v>1184.5640000000001</v>
      </c>
      <c r="D13" s="68">
        <v>1154.989</v>
      </c>
      <c r="E13" s="68">
        <v>984.00900000000001</v>
      </c>
      <c r="F13" s="68">
        <v>856.63800000000003</v>
      </c>
      <c r="G13" s="68">
        <v>601.18600000000004</v>
      </c>
      <c r="H13" s="68">
        <v>744.66300000000001</v>
      </c>
      <c r="I13" s="67"/>
    </row>
    <row r="14" spans="1:9" x14ac:dyDescent="0.25">
      <c r="A14" s="67"/>
      <c r="B14" s="64"/>
      <c r="C14" s="64"/>
      <c r="D14" s="64"/>
      <c r="E14" s="64"/>
      <c r="F14" s="64"/>
      <c r="G14" s="64"/>
      <c r="H14" s="64"/>
      <c r="I14" s="67"/>
    </row>
    <row r="15" spans="1:9" ht="13" x14ac:dyDescent="0.3">
      <c r="A15" s="69" t="s">
        <v>130</v>
      </c>
      <c r="B15" s="68">
        <v>498.47376600000001</v>
      </c>
      <c r="C15" s="68">
        <v>492.47899999999998</v>
      </c>
      <c r="D15" s="68">
        <v>465.822</v>
      </c>
      <c r="E15" s="68">
        <v>412.72</v>
      </c>
      <c r="F15" s="68">
        <v>373.39100000000002</v>
      </c>
      <c r="G15" s="68">
        <v>357.02100000000002</v>
      </c>
      <c r="H15" s="68">
        <v>349.93799999999999</v>
      </c>
      <c r="I15" s="67"/>
    </row>
    <row r="16" spans="1:9" x14ac:dyDescent="0.25">
      <c r="A16" s="67"/>
      <c r="B16" s="64"/>
      <c r="C16" s="64"/>
      <c r="D16" s="64"/>
      <c r="E16" s="64"/>
      <c r="F16" s="64"/>
      <c r="G16" s="64"/>
      <c r="H16" s="64"/>
      <c r="I16" s="67"/>
    </row>
    <row r="17" spans="1:9" x14ac:dyDescent="0.25">
      <c r="A17" s="67" t="s">
        <v>129</v>
      </c>
      <c r="B17" s="64">
        <v>307.36584499999998</v>
      </c>
      <c r="C17" s="64">
        <v>307.36599999999999</v>
      </c>
      <c r="D17" s="64">
        <v>307.36599999999999</v>
      </c>
      <c r="E17" s="64">
        <v>307.36599999999999</v>
      </c>
      <c r="F17" s="64">
        <v>307.36599999999999</v>
      </c>
      <c r="G17" s="64">
        <v>307.36599999999999</v>
      </c>
      <c r="H17" s="64">
        <v>0</v>
      </c>
      <c r="I17" s="67"/>
    </row>
    <row r="18" spans="1:9" x14ac:dyDescent="0.25">
      <c r="A18" s="67" t="s">
        <v>128</v>
      </c>
      <c r="B18" s="64">
        <v>137.97908200000001</v>
      </c>
      <c r="C18" s="64">
        <v>57.781999999999996</v>
      </c>
      <c r="D18" s="64">
        <v>49.893999999999998</v>
      </c>
      <c r="E18" s="64">
        <v>95.156999999999996</v>
      </c>
      <c r="F18" s="64">
        <v>114.643</v>
      </c>
      <c r="G18" s="64">
        <v>107.006</v>
      </c>
      <c r="H18" s="64">
        <v>141.834</v>
      </c>
      <c r="I18" s="67"/>
    </row>
    <row r="19" spans="1:9" x14ac:dyDescent="0.25">
      <c r="A19" s="67" t="s">
        <v>127</v>
      </c>
      <c r="B19" s="64">
        <v>269.67500000000001</v>
      </c>
      <c r="C19" s="64">
        <v>288.97500000000002</v>
      </c>
      <c r="D19" s="64">
        <v>308.27499999999998</v>
      </c>
      <c r="E19" s="64">
        <v>327.57499999999999</v>
      </c>
      <c r="F19" s="64">
        <v>346.875</v>
      </c>
      <c r="G19" s="64">
        <v>366.17500000000001</v>
      </c>
      <c r="H19" s="64">
        <v>0</v>
      </c>
      <c r="I19" s="67"/>
    </row>
    <row r="20" spans="1:9" x14ac:dyDescent="0.25">
      <c r="A20" s="67" t="s">
        <v>126</v>
      </c>
      <c r="B20" s="64">
        <v>21.010121000000002</v>
      </c>
      <c r="C20" s="64">
        <v>20.887</v>
      </c>
      <c r="D20" s="64">
        <v>23.273</v>
      </c>
      <c r="E20" s="64">
        <v>21.846</v>
      </c>
      <c r="F20" s="64">
        <v>23.628</v>
      </c>
      <c r="G20" s="64">
        <v>25.335000000000001</v>
      </c>
      <c r="H20" s="64">
        <v>29.256</v>
      </c>
      <c r="I20" s="67"/>
    </row>
    <row r="21" spans="1:9" ht="13" x14ac:dyDescent="0.3">
      <c r="A21" s="69" t="s">
        <v>125</v>
      </c>
      <c r="B21" s="68">
        <v>736.03004799999997</v>
      </c>
      <c r="C21" s="68">
        <v>675.01099999999997</v>
      </c>
      <c r="D21" s="68">
        <v>688.80799999999999</v>
      </c>
      <c r="E21" s="68">
        <v>751.94399999999996</v>
      </c>
      <c r="F21" s="68">
        <v>792.51099999999997</v>
      </c>
      <c r="G21" s="68">
        <v>805.88099999999997</v>
      </c>
      <c r="H21" s="68">
        <v>171.09</v>
      </c>
      <c r="I21" s="67"/>
    </row>
    <row r="22" spans="1:9" ht="13" x14ac:dyDescent="0.3">
      <c r="A22" s="67"/>
      <c r="B22" s="68"/>
      <c r="C22" s="68"/>
      <c r="D22" s="68"/>
      <c r="E22" s="68"/>
      <c r="F22" s="68"/>
      <c r="G22" s="68"/>
      <c r="H22" s="68"/>
      <c r="I22" s="67"/>
    </row>
    <row r="23" spans="1:9" ht="13" x14ac:dyDescent="0.3">
      <c r="A23" s="69" t="s">
        <v>124</v>
      </c>
      <c r="B23" s="68">
        <v>2085.434068</v>
      </c>
      <c r="C23" s="68">
        <v>2352.0540000000001</v>
      </c>
      <c r="D23" s="68">
        <v>2309.62</v>
      </c>
      <c r="E23" s="68">
        <v>2148.6729999999998</v>
      </c>
      <c r="F23" s="68">
        <v>2022.54</v>
      </c>
      <c r="G23" s="68">
        <v>1764.088</v>
      </c>
      <c r="H23" s="68">
        <v>1265.691</v>
      </c>
      <c r="I23" s="67"/>
    </row>
    <row r="24" spans="1:9" x14ac:dyDescent="0.25">
      <c r="A24" s="67"/>
      <c r="B24" s="64"/>
      <c r="C24" s="64"/>
      <c r="D24" s="64"/>
      <c r="E24" s="64"/>
      <c r="F24" s="64"/>
      <c r="G24" s="64"/>
      <c r="H24" s="64"/>
      <c r="I24" s="67"/>
    </row>
    <row r="25" spans="1:9" x14ac:dyDescent="0.25">
      <c r="A25" s="67" t="s">
        <v>99</v>
      </c>
      <c r="B25" s="64">
        <v>92.810316</v>
      </c>
      <c r="C25" s="64">
        <v>89.897999999999996</v>
      </c>
      <c r="D25" s="64">
        <v>79.963999999999999</v>
      </c>
      <c r="E25" s="64">
        <v>66.353999999999999</v>
      </c>
      <c r="F25" s="64">
        <v>71.456999999999994</v>
      </c>
      <c r="G25" s="64">
        <v>56.51</v>
      </c>
      <c r="H25" s="64">
        <v>43.2</v>
      </c>
      <c r="I25" s="67"/>
    </row>
    <row r="26" spans="1:9" x14ac:dyDescent="0.25">
      <c r="A26" s="67" t="s">
        <v>123</v>
      </c>
      <c r="B26" s="64">
        <v>15.860073</v>
      </c>
      <c r="C26" s="64">
        <v>18.501999999999999</v>
      </c>
      <c r="D26" s="64">
        <v>12.378</v>
      </c>
      <c r="E26" s="64">
        <v>9.3239999999999998</v>
      </c>
      <c r="F26" s="64">
        <v>8.9849999999999994</v>
      </c>
      <c r="G26" s="64">
        <v>7.7709999999999999</v>
      </c>
      <c r="H26" s="64">
        <v>7.1879999999999997</v>
      </c>
      <c r="I26" s="67"/>
    </row>
    <row r="27" spans="1:9" x14ac:dyDescent="0.25">
      <c r="A27" s="67" t="s">
        <v>122</v>
      </c>
      <c r="B27" s="64">
        <v>4.2936079999999999</v>
      </c>
      <c r="C27" s="64">
        <v>0.36</v>
      </c>
      <c r="D27" s="64">
        <v>0.57299999999999995</v>
      </c>
      <c r="E27" s="64">
        <v>0.14799999999999999</v>
      </c>
      <c r="F27" s="64">
        <v>0.76800000000000002</v>
      </c>
      <c r="G27" s="64">
        <v>13.316000000000001</v>
      </c>
      <c r="H27" s="64">
        <v>1.583</v>
      </c>
      <c r="I27" s="67"/>
    </row>
    <row r="28" spans="1:9" x14ac:dyDescent="0.25">
      <c r="A28" s="67" t="s">
        <v>121</v>
      </c>
      <c r="B28" s="64">
        <v>16.174040999999999</v>
      </c>
      <c r="C28" s="64">
        <v>14.661</v>
      </c>
      <c r="D28" s="64">
        <v>11.932</v>
      </c>
      <c r="E28" s="64">
        <v>10.372999999999999</v>
      </c>
      <c r="F28" s="64">
        <v>12.051</v>
      </c>
      <c r="G28" s="64">
        <v>9.3740000000000006</v>
      </c>
      <c r="H28" s="64">
        <v>9.89</v>
      </c>
      <c r="I28" s="67"/>
    </row>
    <row r="29" spans="1:9" x14ac:dyDescent="0.25">
      <c r="A29" s="67" t="s">
        <v>120</v>
      </c>
      <c r="B29" s="64">
        <v>28.526147000000002</v>
      </c>
      <c r="C29" s="64">
        <v>28.027999999999999</v>
      </c>
      <c r="D29" s="64">
        <v>25.896000000000001</v>
      </c>
      <c r="E29" s="64">
        <v>24.759</v>
      </c>
      <c r="F29" s="64">
        <v>23.62</v>
      </c>
      <c r="G29" s="64">
        <v>20.381</v>
      </c>
      <c r="H29" s="64">
        <v>18.600000000000001</v>
      </c>
      <c r="I29" s="67"/>
    </row>
    <row r="30" spans="1:9" x14ac:dyDescent="0.25">
      <c r="A30" s="67" t="s">
        <v>13</v>
      </c>
      <c r="B30" s="64">
        <v>0</v>
      </c>
      <c r="C30" s="64">
        <v>78</v>
      </c>
      <c r="D30" s="64">
        <v>7.5</v>
      </c>
      <c r="E30" s="64">
        <v>7.5</v>
      </c>
      <c r="F30" s="64">
        <v>7.5</v>
      </c>
      <c r="G30" s="64">
        <v>7.5</v>
      </c>
      <c r="H30" s="64">
        <v>0</v>
      </c>
      <c r="I30" s="67"/>
    </row>
    <row r="31" spans="1:9" x14ac:dyDescent="0.25">
      <c r="A31" s="67" t="s">
        <v>119</v>
      </c>
      <c r="B31" s="64">
        <v>11.496734</v>
      </c>
      <c r="C31" s="64">
        <v>14.196999999999999</v>
      </c>
      <c r="D31" s="64">
        <v>11.615</v>
      </c>
      <c r="E31" s="64">
        <v>12.547000000000001</v>
      </c>
      <c r="F31" s="64">
        <v>9.0500000000000007</v>
      </c>
      <c r="G31" s="64">
        <v>5.1280000000000001</v>
      </c>
      <c r="H31" s="64">
        <v>7.4969999999999999</v>
      </c>
      <c r="I31" s="67"/>
    </row>
    <row r="32" spans="1:9" ht="13" x14ac:dyDescent="0.3">
      <c r="A32" s="69" t="s">
        <v>14</v>
      </c>
      <c r="B32" s="68">
        <v>169.16091900000001</v>
      </c>
      <c r="C32" s="68">
        <v>243.64699999999999</v>
      </c>
      <c r="D32" s="68">
        <v>149.858</v>
      </c>
      <c r="E32" s="68">
        <v>131.00700000000001</v>
      </c>
      <c r="F32" s="68">
        <v>133.43100000000001</v>
      </c>
      <c r="G32" s="68">
        <v>119.98</v>
      </c>
      <c r="H32" s="68">
        <v>87.956999999999994</v>
      </c>
      <c r="I32" s="67"/>
    </row>
    <row r="33" spans="1:9" x14ac:dyDescent="0.25">
      <c r="A33" s="67"/>
      <c r="B33" s="64"/>
      <c r="C33" s="64"/>
      <c r="D33" s="64"/>
      <c r="E33" s="64"/>
      <c r="F33" s="64"/>
      <c r="G33" s="64"/>
      <c r="H33" s="64"/>
      <c r="I33" s="67"/>
    </row>
    <row r="34" spans="1:9" x14ac:dyDescent="0.25">
      <c r="A34" s="67" t="s">
        <v>118</v>
      </c>
      <c r="B34" s="64">
        <v>0</v>
      </c>
      <c r="C34" s="64">
        <v>0</v>
      </c>
      <c r="D34" s="64">
        <v>178.125</v>
      </c>
      <c r="E34" s="64">
        <v>225.625</v>
      </c>
      <c r="F34" s="64">
        <v>258.125</v>
      </c>
      <c r="G34" s="64">
        <v>265.625</v>
      </c>
      <c r="H34" s="64">
        <v>0</v>
      </c>
      <c r="I34" s="67"/>
    </row>
    <row r="35" spans="1:9" x14ac:dyDescent="0.25">
      <c r="A35" s="67" t="s">
        <v>104</v>
      </c>
      <c r="B35" s="64">
        <v>54.521489000000003</v>
      </c>
      <c r="C35" s="64">
        <v>58.889000000000003</v>
      </c>
      <c r="D35" s="64">
        <v>71.212999999999994</v>
      </c>
      <c r="E35" s="64">
        <v>69.525000000000006</v>
      </c>
      <c r="F35" s="64">
        <v>59.570999999999998</v>
      </c>
      <c r="G35" s="64">
        <v>50.878999999999998</v>
      </c>
      <c r="H35" s="64">
        <v>56.773000000000003</v>
      </c>
      <c r="I35" s="67"/>
    </row>
    <row r="36" spans="1:9" x14ac:dyDescent="0.25">
      <c r="A36" s="67"/>
      <c r="B36" s="64"/>
      <c r="C36" s="64"/>
      <c r="D36" s="64"/>
      <c r="E36" s="64"/>
      <c r="F36" s="64"/>
      <c r="G36" s="64"/>
      <c r="H36" s="64"/>
      <c r="I36" s="67"/>
    </row>
    <row r="37" spans="1:9" ht="13" x14ac:dyDescent="0.3">
      <c r="A37" s="69" t="s">
        <v>117</v>
      </c>
      <c r="B37" s="68">
        <v>223.68240800000001</v>
      </c>
      <c r="C37" s="68">
        <v>302.536</v>
      </c>
      <c r="D37" s="68">
        <v>399.19600000000003</v>
      </c>
      <c r="E37" s="68">
        <v>426.15600000000001</v>
      </c>
      <c r="F37" s="68">
        <v>451.12799999999999</v>
      </c>
      <c r="G37" s="68">
        <v>436.48500000000001</v>
      </c>
      <c r="H37" s="68">
        <v>0</v>
      </c>
      <c r="I37" s="67"/>
    </row>
    <row r="38" spans="1:9" x14ac:dyDescent="0.25">
      <c r="A38" s="67"/>
      <c r="B38" s="64"/>
      <c r="C38" s="64"/>
      <c r="D38" s="64"/>
      <c r="E38" s="64"/>
      <c r="F38" s="64"/>
      <c r="G38" s="64"/>
      <c r="H38" s="64"/>
      <c r="I38" s="67"/>
    </row>
    <row r="39" spans="1:9" x14ac:dyDescent="0.25">
      <c r="A39" s="67" t="s">
        <v>116</v>
      </c>
      <c r="B39" s="64">
        <v>15.559716999999999</v>
      </c>
      <c r="C39" s="64">
        <v>16.817</v>
      </c>
      <c r="D39" s="64">
        <v>17.263999999999999</v>
      </c>
      <c r="E39" s="64">
        <v>17.48</v>
      </c>
      <c r="F39" s="64">
        <v>17.715</v>
      </c>
      <c r="G39" s="64">
        <v>8.7349999999999994</v>
      </c>
      <c r="H39" s="64">
        <v>8.5850000000000009</v>
      </c>
      <c r="I39" s="67"/>
    </row>
    <row r="40" spans="1:9" x14ac:dyDescent="0.25">
      <c r="A40" s="67" t="s">
        <v>115</v>
      </c>
      <c r="B40" s="64">
        <v>745.32414400000005</v>
      </c>
      <c r="C40" s="64">
        <v>723.51099999999997</v>
      </c>
      <c r="D40" s="64">
        <v>683.44600000000003</v>
      </c>
      <c r="E40" s="64">
        <v>596.78300000000002</v>
      </c>
      <c r="F40" s="64">
        <v>553.83600000000001</v>
      </c>
      <c r="G40" s="64">
        <v>478.86599999999999</v>
      </c>
      <c r="H40" s="64">
        <v>418.76600000000002</v>
      </c>
      <c r="I40" s="67"/>
    </row>
    <row r="41" spans="1:9" x14ac:dyDescent="0.25">
      <c r="A41" s="67" t="s">
        <v>114</v>
      </c>
      <c r="B41" s="64">
        <v>1102.4681370000001</v>
      </c>
      <c r="C41" s="64">
        <v>1301.9970000000001</v>
      </c>
      <c r="D41" s="64">
        <v>1210.9849999999999</v>
      </c>
      <c r="E41" s="64">
        <v>1109.385</v>
      </c>
      <c r="F41" s="64">
        <v>988.548</v>
      </c>
      <c r="G41" s="64">
        <v>818.02800000000002</v>
      </c>
      <c r="H41" s="64">
        <v>676.03899999999999</v>
      </c>
      <c r="I41" s="67"/>
    </row>
    <row r="42" spans="1:9" x14ac:dyDescent="0.25">
      <c r="A42" s="67" t="s">
        <v>113</v>
      </c>
      <c r="B42" s="64">
        <v>7.4549000000000004E-2</v>
      </c>
      <c r="C42" s="64">
        <v>6.6260000000000003</v>
      </c>
      <c r="D42" s="64">
        <v>2.7890000000000001</v>
      </c>
      <c r="E42" s="64">
        <v>0.83</v>
      </c>
      <c r="F42" s="64">
        <v>10.868</v>
      </c>
      <c r="G42" s="64">
        <v>19.466999999999999</v>
      </c>
      <c r="H42" s="64">
        <v>15.112</v>
      </c>
      <c r="I42" s="67"/>
    </row>
    <row r="43" spans="1:9" x14ac:dyDescent="0.25">
      <c r="A43" s="67" t="s">
        <v>112</v>
      </c>
      <c r="B43" s="64">
        <v>0</v>
      </c>
      <c r="C43" s="64">
        <v>-7.8E-2</v>
      </c>
      <c r="D43" s="64">
        <v>1.1970000000000001</v>
      </c>
      <c r="E43" s="64">
        <v>1.9159999999999999</v>
      </c>
      <c r="F43" s="64">
        <v>0.95899999999999996</v>
      </c>
      <c r="G43" s="64">
        <v>0</v>
      </c>
      <c r="H43" s="64">
        <v>0</v>
      </c>
      <c r="I43" s="67"/>
    </row>
    <row r="44" spans="1:9" x14ac:dyDescent="0.25">
      <c r="A44" s="67" t="s">
        <v>111</v>
      </c>
      <c r="B44" s="64">
        <v>-1.674887</v>
      </c>
      <c r="C44" s="64">
        <v>0.64500000000000002</v>
      </c>
      <c r="D44" s="64">
        <v>2.863</v>
      </c>
      <c r="E44" s="64">
        <v>4.4999999999999998E-2</v>
      </c>
      <c r="F44" s="64">
        <v>1.4039999999999999</v>
      </c>
      <c r="G44" s="64">
        <v>2.508</v>
      </c>
      <c r="H44" s="64">
        <v>2.4590000000000001</v>
      </c>
      <c r="I44" s="67"/>
    </row>
    <row r="45" spans="1:9" ht="13" x14ac:dyDescent="0.3">
      <c r="A45" s="69" t="s">
        <v>110</v>
      </c>
      <c r="B45" s="68">
        <v>1861.7516599999999</v>
      </c>
      <c r="C45" s="68">
        <v>2049.518</v>
      </c>
      <c r="D45" s="68">
        <v>1910.424</v>
      </c>
      <c r="E45" s="68">
        <v>1722.5170000000001</v>
      </c>
      <c r="F45" s="68">
        <v>1571.412</v>
      </c>
      <c r="G45" s="68">
        <v>1327.604</v>
      </c>
      <c r="H45" s="68">
        <v>1120.961</v>
      </c>
      <c r="I45" s="67"/>
    </row>
    <row r="47" spans="1:9" ht="13" x14ac:dyDescent="0.3">
      <c r="A47" s="79" t="s">
        <v>131</v>
      </c>
      <c r="B47" s="80">
        <f>B45+B37</f>
        <v>2085.434068</v>
      </c>
      <c r="C47" s="80">
        <f t="shared" ref="C47:H47" si="0">C45+C37</f>
        <v>2352.0540000000001</v>
      </c>
      <c r="D47" s="80">
        <f t="shared" si="0"/>
        <v>2309.62</v>
      </c>
      <c r="E47" s="80">
        <f t="shared" si="0"/>
        <v>2148.6730000000002</v>
      </c>
      <c r="F47" s="80">
        <f t="shared" si="0"/>
        <v>2022.54</v>
      </c>
      <c r="G47" s="80">
        <f t="shared" si="0"/>
        <v>1764.0889999999999</v>
      </c>
      <c r="H47" s="80">
        <f t="shared" si="0"/>
        <v>1120.961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GNTX_DCF</vt:lpstr>
      <vt:lpstr>Regression_Beta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Hai</dc:creator>
  <cp:lastModifiedBy>David Moore</cp:lastModifiedBy>
  <dcterms:created xsi:type="dcterms:W3CDTF">2019-02-12T17:30:01Z</dcterms:created>
  <dcterms:modified xsi:type="dcterms:W3CDTF">2019-10-14T16:21:31Z</dcterms:modified>
</cp:coreProperties>
</file>