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David Moore\Dropbox\LMU_teaching\FNCE_3410\Spring_21\Modules\FS_CASh\"/>
    </mc:Choice>
  </mc:AlternateContent>
  <xr:revisionPtr revIDLastSave="0" documentId="13_ncr:1_{F0F1C625-881B-4DE3-8D18-52C2142653A8}" xr6:coauthVersionLast="46" xr6:coauthVersionMax="46" xr10:uidLastSave="{00000000-0000-0000-0000-000000000000}"/>
  <bookViews>
    <workbookView xWindow="28680" yWindow="-120" windowWidth="29040" windowHeight="15840" activeTab="2" xr2:uid="{583B031B-B14E-459A-9FB1-6DA333D3C1A2}"/>
  </bookViews>
  <sheets>
    <sheet name="Part_1" sheetId="1" r:id="rId1"/>
    <sheet name="Part_2" sheetId="7" r:id="rId2"/>
    <sheet name="Part_3" sheetId="8" r:id="rId3"/>
  </sheets>
  <calcPr calcId="181029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" i="8" l="1"/>
  <c r="P4" i="8"/>
  <c r="C9" i="7" l="1"/>
  <c r="C66" i="8" l="1"/>
  <c r="C58" i="8"/>
  <c r="C56" i="8"/>
  <c r="C44" i="8"/>
  <c r="D31" i="8"/>
  <c r="S41" i="8"/>
  <c r="S33" i="8"/>
  <c r="S34" i="8"/>
  <c r="S36" i="8"/>
  <c r="T36" i="8"/>
  <c r="S37" i="8"/>
  <c r="T38" i="8"/>
  <c r="S39" i="8"/>
  <c r="T39" i="8"/>
  <c r="T40" i="8"/>
  <c r="T29" i="8"/>
  <c r="S28" i="8"/>
  <c r="T27" i="8"/>
  <c r="S26" i="8"/>
  <c r="J43" i="8"/>
  <c r="J44" i="8" s="1"/>
  <c r="T20" i="8"/>
  <c r="S19" i="8"/>
  <c r="S38" i="8" s="1"/>
  <c r="U38" i="8" s="1"/>
  <c r="D36" i="8" s="1"/>
  <c r="T18" i="8"/>
  <c r="T41" i="8" s="1"/>
  <c r="T17" i="8"/>
  <c r="S16" i="8"/>
  <c r="T12" i="8"/>
  <c r="T9" i="8"/>
  <c r="S5" i="8"/>
  <c r="S40" i="8" s="1"/>
  <c r="T7" i="8"/>
  <c r="S4" i="8"/>
  <c r="S32" i="8" s="1"/>
  <c r="J40" i="8"/>
  <c r="C8" i="8"/>
  <c r="M22" i="8"/>
  <c r="J24" i="8" s="1"/>
  <c r="T14" i="8" s="1"/>
  <c r="T37" i="8" s="1"/>
  <c r="O27" i="8"/>
  <c r="O26" i="8"/>
  <c r="J8" i="8"/>
  <c r="C4" i="8" s="1"/>
  <c r="C40" i="8"/>
  <c r="M17" i="8"/>
  <c r="J22" i="8" s="1"/>
  <c r="M12" i="8"/>
  <c r="J21" i="8" s="1"/>
  <c r="M7" i="8"/>
  <c r="N4" i="8" s="1"/>
  <c r="M44" i="7"/>
  <c r="N44" i="7"/>
  <c r="M37" i="7"/>
  <c r="N36" i="7"/>
  <c r="N35" i="7"/>
  <c r="M34" i="7"/>
  <c r="M41" i="7"/>
  <c r="M42" i="7"/>
  <c r="J35" i="7"/>
  <c r="C35" i="7"/>
  <c r="D34" i="7"/>
  <c r="D33" i="7"/>
  <c r="D35" i="7" s="1"/>
  <c r="C30" i="7"/>
  <c r="D29" i="7"/>
  <c r="E29" i="7" s="1"/>
  <c r="E28" i="7"/>
  <c r="N27" i="7"/>
  <c r="J26" i="7"/>
  <c r="C8" i="7" s="1"/>
  <c r="C25" i="7"/>
  <c r="N24" i="7"/>
  <c r="D24" i="7"/>
  <c r="N23" i="7"/>
  <c r="N41" i="7" s="1"/>
  <c r="D23" i="7"/>
  <c r="E22" i="7"/>
  <c r="D21" i="7"/>
  <c r="M17" i="7"/>
  <c r="J17" i="7" s="1"/>
  <c r="M12" i="7"/>
  <c r="J16" i="7" s="1"/>
  <c r="N28" i="7" s="1"/>
  <c r="M7" i="7"/>
  <c r="J11" i="7" s="1"/>
  <c r="J6" i="7"/>
  <c r="M21" i="7" s="1"/>
  <c r="M40" i="7" s="1"/>
  <c r="J26" i="1"/>
  <c r="C8" i="1" s="1"/>
  <c r="U39" i="8" l="1"/>
  <c r="D30" i="8" s="1"/>
  <c r="C52" i="8" s="1"/>
  <c r="N30" i="7"/>
  <c r="M31" i="7"/>
  <c r="O44" i="7"/>
  <c r="E33" i="7" s="1"/>
  <c r="C37" i="7"/>
  <c r="E30" i="7"/>
  <c r="J25" i="8"/>
  <c r="T13" i="8"/>
  <c r="O4" i="8"/>
  <c r="C9" i="8"/>
  <c r="J16" i="8"/>
  <c r="U40" i="8"/>
  <c r="D22" i="8" s="1"/>
  <c r="C49" i="8" s="1"/>
  <c r="C68" i="8"/>
  <c r="S22" i="8"/>
  <c r="T21" i="8"/>
  <c r="C67" i="8"/>
  <c r="U37" i="8"/>
  <c r="D25" i="8" s="1"/>
  <c r="J4" i="8"/>
  <c r="T6" i="8"/>
  <c r="T35" i="8" s="1"/>
  <c r="U36" i="8"/>
  <c r="D35" i="8" s="1"/>
  <c r="U41" i="8"/>
  <c r="D29" i="8" s="1"/>
  <c r="O41" i="7"/>
  <c r="E23" i="7" s="1"/>
  <c r="N25" i="7"/>
  <c r="J12" i="7"/>
  <c r="N22" i="7"/>
  <c r="N43" i="7" s="1"/>
  <c r="D25" i="7"/>
  <c r="D30" i="7"/>
  <c r="C4" i="7"/>
  <c r="J18" i="7"/>
  <c r="N42" i="7" l="1"/>
  <c r="O42" i="7" s="1"/>
  <c r="E24" i="7" s="1"/>
  <c r="T10" i="8"/>
  <c r="T34" i="8" s="1"/>
  <c r="U34" i="8" s="1"/>
  <c r="D24" i="8" s="1"/>
  <c r="J38" i="8"/>
  <c r="C47" i="8" s="1"/>
  <c r="T25" i="8"/>
  <c r="C59" i="8"/>
  <c r="C60" i="8" s="1"/>
  <c r="S15" i="8"/>
  <c r="C6" i="8"/>
  <c r="J17" i="8"/>
  <c r="C5" i="8" s="1"/>
  <c r="T8" i="8"/>
  <c r="T33" i="8" s="1"/>
  <c r="U33" i="8" s="1"/>
  <c r="D23" i="8" s="1"/>
  <c r="C50" i="8" s="1"/>
  <c r="D32" i="8"/>
  <c r="C51" i="8"/>
  <c r="C6" i="7"/>
  <c r="M29" i="7"/>
  <c r="D37" i="7"/>
  <c r="C5" i="7"/>
  <c r="C7" i="7" s="1"/>
  <c r="C10" i="7" s="1"/>
  <c r="M26" i="7"/>
  <c r="S11" i="8" l="1"/>
  <c r="C7" i="8"/>
  <c r="C16" i="7"/>
  <c r="C10" i="8" l="1"/>
  <c r="C11" i="8" s="1"/>
  <c r="T24" i="8" s="1"/>
  <c r="T32" i="8" s="1"/>
  <c r="U32" i="8" s="1"/>
  <c r="D21" i="8" s="1"/>
  <c r="C16" i="8"/>
  <c r="C11" i="7"/>
  <c r="C12" i="8" l="1"/>
  <c r="S23" i="8"/>
  <c r="S35" i="8" s="1"/>
  <c r="U35" i="8" s="1"/>
  <c r="D37" i="8" s="1"/>
  <c r="D38" i="8" s="1"/>
  <c r="C46" i="8"/>
  <c r="C53" i="8" s="1"/>
  <c r="C70" i="8" s="1"/>
  <c r="C71" i="8" s="1"/>
  <c r="C72" i="8" s="1"/>
  <c r="C14" i="8"/>
  <c r="D26" i="8"/>
  <c r="E21" i="8"/>
  <c r="M33" i="7"/>
  <c r="N32" i="7"/>
  <c r="C12" i="7"/>
  <c r="C14" i="7" s="1"/>
  <c r="D40" i="8" l="1"/>
  <c r="N40" i="7"/>
  <c r="O40" i="7" s="1"/>
  <c r="E21" i="7" s="1"/>
  <c r="E25" i="7" s="1"/>
  <c r="M43" i="7"/>
  <c r="O43" i="7" s="1"/>
  <c r="E34" i="7" s="1"/>
  <c r="E35" i="7" s="1"/>
  <c r="E37" i="7" l="1"/>
  <c r="E33" i="1"/>
  <c r="E30" i="1"/>
  <c r="E29" i="1"/>
  <c r="E28" i="1"/>
  <c r="E22" i="1"/>
  <c r="M36" i="1"/>
  <c r="N36" i="1"/>
  <c r="M37" i="1"/>
  <c r="N37" i="1"/>
  <c r="N38" i="1"/>
  <c r="M35" i="1"/>
  <c r="M31" i="1"/>
  <c r="N30" i="1"/>
  <c r="M29" i="1"/>
  <c r="N28" i="1"/>
  <c r="N27" i="1"/>
  <c r="M26" i="1"/>
  <c r="N25" i="1"/>
  <c r="N24" i="1"/>
  <c r="M21" i="1"/>
  <c r="N22" i="1"/>
  <c r="N23" i="1"/>
  <c r="D37" i="1"/>
  <c r="C37" i="1"/>
  <c r="D21" i="1"/>
  <c r="D30" i="1"/>
  <c r="D35" i="1"/>
  <c r="D34" i="1"/>
  <c r="D33" i="1"/>
  <c r="D29" i="1"/>
  <c r="D23" i="1"/>
  <c r="D24" i="1"/>
  <c r="C35" i="1"/>
  <c r="C30" i="1"/>
  <c r="C25" i="1"/>
  <c r="C16" i="1"/>
  <c r="C10" i="1"/>
  <c r="C11" i="1" s="1"/>
  <c r="M33" i="1" s="1"/>
  <c r="M38" i="1" s="1"/>
  <c r="C7" i="1"/>
  <c r="C6" i="1"/>
  <c r="J18" i="1"/>
  <c r="J17" i="1"/>
  <c r="J16" i="1"/>
  <c r="C5" i="1"/>
  <c r="J12" i="1"/>
  <c r="J11" i="1"/>
  <c r="M17" i="1"/>
  <c r="M12" i="1"/>
  <c r="M7" i="1"/>
  <c r="C4" i="1"/>
  <c r="J6" i="1"/>
  <c r="O38" i="1" l="1"/>
  <c r="E34" i="1" s="1"/>
  <c r="E35" i="1" s="1"/>
  <c r="O36" i="1"/>
  <c r="E23" i="1" s="1"/>
  <c r="O37" i="1"/>
  <c r="E24" i="1" s="1"/>
  <c r="C12" i="1"/>
  <c r="C14" i="1" s="1"/>
  <c r="N32" i="1"/>
  <c r="N35" i="1" s="1"/>
  <c r="O35" i="1" s="1"/>
  <c r="E21" i="1" s="1"/>
  <c r="D25" i="1"/>
  <c r="E25" i="1" l="1"/>
  <c r="E37" i="1" s="1"/>
</calcChain>
</file>

<file path=xl/sharedStrings.xml><?xml version="1.0" encoding="utf-8"?>
<sst xmlns="http://schemas.openxmlformats.org/spreadsheetml/2006/main" count="340" uniqueCount="119">
  <si>
    <t>Revenue</t>
  </si>
  <si>
    <t>Revenue Notes</t>
  </si>
  <si>
    <t>Cups</t>
  </si>
  <si>
    <t>Cost per cup</t>
  </si>
  <si>
    <t>COGS</t>
  </si>
  <si>
    <t>SGA</t>
  </si>
  <si>
    <t>COGS Notes</t>
  </si>
  <si>
    <t>Lemons and Cups</t>
  </si>
  <si>
    <t>Lemonade Mixer Salary</t>
  </si>
  <si>
    <t>Assets</t>
  </si>
  <si>
    <t>Squeezer</t>
  </si>
  <si>
    <t>Useful life</t>
  </si>
  <si>
    <t>Salvage Value</t>
  </si>
  <si>
    <t>Ann. Dep.</t>
  </si>
  <si>
    <t>Stand</t>
  </si>
  <si>
    <t>Register</t>
  </si>
  <si>
    <t>Depreciation - Squeezer</t>
  </si>
  <si>
    <t>Total</t>
  </si>
  <si>
    <t>SGA Notes</t>
  </si>
  <si>
    <t>Lemonade Cashier</t>
  </si>
  <si>
    <t>Depreciation - Stand</t>
  </si>
  <si>
    <t>Depreciation - Register</t>
  </si>
  <si>
    <t>EBIT</t>
  </si>
  <si>
    <t>Interest Expense, Net</t>
  </si>
  <si>
    <t>Non-operating Income</t>
  </si>
  <si>
    <t>Pre-tax Income</t>
  </si>
  <si>
    <t>Taxes</t>
  </si>
  <si>
    <t>Tax Rate</t>
  </si>
  <si>
    <t>Net Income</t>
  </si>
  <si>
    <t>EPS</t>
  </si>
  <si>
    <t>EBITDA</t>
  </si>
  <si>
    <t>Shares</t>
  </si>
  <si>
    <t>x</t>
  </si>
  <si>
    <t>Balance Sheet for Lemonade Stand</t>
  </si>
  <si>
    <t>Before any events</t>
  </si>
  <si>
    <t>Cash</t>
  </si>
  <si>
    <t>A/R</t>
  </si>
  <si>
    <t>Inventory</t>
  </si>
  <si>
    <t>PP&amp;E</t>
  </si>
  <si>
    <t>Total Assets</t>
  </si>
  <si>
    <t>Liabilities</t>
  </si>
  <si>
    <t>A/P</t>
  </si>
  <si>
    <t>Long-term debt</t>
  </si>
  <si>
    <t>Total Liabilities</t>
  </si>
  <si>
    <t>Equity</t>
  </si>
  <si>
    <t>Common Stock</t>
  </si>
  <si>
    <t>Retained Earnings</t>
  </si>
  <si>
    <t xml:space="preserve">Total Equity </t>
  </si>
  <si>
    <t>Balance Sheet Check</t>
  </si>
  <si>
    <t>Account</t>
  </si>
  <si>
    <t>Debit</t>
  </si>
  <si>
    <t>Credit</t>
  </si>
  <si>
    <t>RE</t>
  </si>
  <si>
    <t>PPE</t>
  </si>
  <si>
    <t>Totals</t>
  </si>
  <si>
    <t>Debt</t>
  </si>
  <si>
    <t>Principle</t>
  </si>
  <si>
    <t>Interest rate</t>
  </si>
  <si>
    <t>Interest expense</t>
  </si>
  <si>
    <t>Interest Income</t>
  </si>
  <si>
    <t>Lawsuit</t>
  </si>
  <si>
    <t>New Equity</t>
  </si>
  <si>
    <t>New Shares</t>
  </si>
  <si>
    <t>Income Statement for Lemonade Stand from 1/1/2019-12/31/2019</t>
  </si>
  <si>
    <t>FY2019</t>
  </si>
  <si>
    <t>Cost per Cup</t>
  </si>
  <si>
    <t>Deferred Revenue</t>
  </si>
  <si>
    <t>Date</t>
  </si>
  <si>
    <t>Value</t>
  </si>
  <si>
    <t>Paid</t>
  </si>
  <si>
    <t>Yes</t>
  </si>
  <si>
    <t>No</t>
  </si>
  <si>
    <t>Shares Oustanding (EPS)</t>
  </si>
  <si>
    <t>Gift Card Redeemed</t>
  </si>
  <si>
    <t>Revenue (ngc)</t>
  </si>
  <si>
    <t xml:space="preserve">Total Gift Card </t>
  </si>
  <si>
    <t>Value/Cup</t>
  </si>
  <si>
    <t>Depreciation - squeezer</t>
  </si>
  <si>
    <t>Cashier</t>
  </si>
  <si>
    <t>Depreciation Stand</t>
  </si>
  <si>
    <t>Depreciation register</t>
  </si>
  <si>
    <t>Marketing</t>
  </si>
  <si>
    <t>CL</t>
  </si>
  <si>
    <t>Amortization - list</t>
  </si>
  <si>
    <t>Tax rate</t>
  </si>
  <si>
    <t>Interest Expense</t>
  </si>
  <si>
    <t>Repurchase</t>
  </si>
  <si>
    <t>Repurchase shares</t>
  </si>
  <si>
    <t>Dividend/share</t>
  </si>
  <si>
    <t>Total D&amp;A</t>
  </si>
  <si>
    <t>Shares Out. (EPS)</t>
  </si>
  <si>
    <t>AR</t>
  </si>
  <si>
    <t>Intangible</t>
  </si>
  <si>
    <t>AP</t>
  </si>
  <si>
    <t>Treasury Stock</t>
  </si>
  <si>
    <t>Dividend Notes</t>
  </si>
  <si>
    <t>Total Div</t>
  </si>
  <si>
    <t>Cash at beginning</t>
  </si>
  <si>
    <t>Cash from operations</t>
  </si>
  <si>
    <t>D&amp;A</t>
  </si>
  <si>
    <t>Changes in Working Capital</t>
  </si>
  <si>
    <t>Cash from investing</t>
  </si>
  <si>
    <t>Capex</t>
  </si>
  <si>
    <t>Asset sales</t>
  </si>
  <si>
    <t>Intangibles</t>
  </si>
  <si>
    <t>Asset write-offs</t>
  </si>
  <si>
    <t>Cash from financing</t>
  </si>
  <si>
    <t>Debt Issuance</t>
  </si>
  <si>
    <t>Debt repayment</t>
  </si>
  <si>
    <t>Stock issuance</t>
  </si>
  <si>
    <t>Stock repurchase</t>
  </si>
  <si>
    <t>Dividends paid</t>
  </si>
  <si>
    <t>Change in cash</t>
  </si>
  <si>
    <t>Cash at end</t>
  </si>
  <si>
    <t>Check against BS</t>
  </si>
  <si>
    <t>Income Statement for Lemonade Stand from 1/1/2020-12/31/2020</t>
  </si>
  <si>
    <t>Cash Flow Statement For Lemonade Stand 1/1/2020-12/31/2020</t>
  </si>
  <si>
    <t>FY2020</t>
  </si>
  <si>
    <t>(7/15/2020)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</si>
</sst>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6" formatCode="&quot;$&quot;#,##0_);[Red]\(&quot;$&quot;#,##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64" formatCode="_(#,##0_);#,##0"/>
    <numFmt numFmtId="165" formatCode="0;0;&quot;OK&quot;"/>
    <numFmt numFmtId="166" formatCode="_(#,##0_);\(#,##0\)"/>
    <numFmt numFmtId="167" formatCode="_(&quot;$&quot;* #,##0.0_);_(&quot;$&quot;* \(#,##0.0\);_(&quot;$&quot;* &quot;-&quot;_);_(@_)"/>
    <numFmt numFmtId="168" formatCode="_(0.0%_);\(0.0%\)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4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>
      <alignment horizontal="centerContinuous"/>
    </xf>
    <xf numFmtId="0" fontId="1" fillId="0" borderId="0" xfId="0" applyFont="1"/>
    <xf numFmtId="6" fontId="0" fillId="0" borderId="0" xfId="0" applyNumberFormat="1"/>
    <xf numFmtId="164" fontId="0" fillId="0" borderId="0" xfId="0" applyNumberFormat="1"/>
    <xf numFmtId="0" fontId="0" fillId="0" borderId="1" xfId="0" applyBorder="1"/>
    <xf numFmtId="164" fontId="0" fillId="0" borderId="1" xfId="0" applyNumberFormat="1" applyBorder="1"/>
    <xf numFmtId="0" fontId="0" fillId="0" borderId="0" xfId="0" applyFill="1" applyBorder="1"/>
    <xf numFmtId="14" fontId="0" fillId="0" borderId="0" xfId="0" applyNumberFormat="1"/>
    <xf numFmtId="0" fontId="0" fillId="0" borderId="0" xfId="0" applyFont="1"/>
    <xf numFmtId="165" fontId="0" fillId="0" borderId="0" xfId="0" applyNumberFormat="1"/>
    <xf numFmtId="0" fontId="1" fillId="0" borderId="1" xfId="0" applyFont="1" applyBorder="1"/>
    <xf numFmtId="0" fontId="0" fillId="0" borderId="0" xfId="0" applyAlignment="1">
      <alignment horizontal="centerContinuous" wrapText="1"/>
    </xf>
    <xf numFmtId="0" fontId="0" fillId="0" borderId="0" xfId="0" applyAlignment="1">
      <alignment wrapText="1"/>
    </xf>
    <xf numFmtId="0" fontId="1" fillId="0" borderId="0" xfId="0" applyNumberFormat="1" applyFont="1" applyAlignment="1">
      <alignment horizontal="centerContinuous" wrapText="1"/>
    </xf>
    <xf numFmtId="166" fontId="0" fillId="0" borderId="0" xfId="0" applyNumberFormat="1"/>
    <xf numFmtId="166" fontId="0" fillId="0" borderId="1" xfId="0" applyNumberFormat="1" applyBorder="1"/>
    <xf numFmtId="0" fontId="2" fillId="0" borderId="0" xfId="0" applyFont="1"/>
    <xf numFmtId="164" fontId="2" fillId="0" borderId="0" xfId="0" applyNumberFormat="1" applyFont="1"/>
    <xf numFmtId="14" fontId="2" fillId="0" borderId="0" xfId="0" applyNumberFormat="1" applyFont="1"/>
    <xf numFmtId="166" fontId="2" fillId="0" borderId="0" xfId="0" applyNumberFormat="1" applyFont="1"/>
    <xf numFmtId="14" fontId="3" fillId="0" borderId="0" xfId="0" applyNumberFormat="1" applyFont="1"/>
    <xf numFmtId="42" fontId="0" fillId="0" borderId="0" xfId="0" applyNumberFormat="1"/>
    <xf numFmtId="42" fontId="2" fillId="0" borderId="0" xfId="0" applyNumberFormat="1" applyFont="1"/>
    <xf numFmtId="37" fontId="0" fillId="0" borderId="0" xfId="0" applyNumberFormat="1"/>
    <xf numFmtId="39" fontId="0" fillId="0" borderId="0" xfId="0" applyNumberFormat="1"/>
    <xf numFmtId="37" fontId="1" fillId="0" borderId="0" xfId="0" applyNumberFormat="1" applyFont="1"/>
    <xf numFmtId="37" fontId="1" fillId="0" borderId="1" xfId="0" applyNumberFormat="1" applyFont="1" applyBorder="1"/>
    <xf numFmtId="37" fontId="0" fillId="0" borderId="1" xfId="0" applyNumberFormat="1" applyBorder="1"/>
    <xf numFmtId="37" fontId="2" fillId="0" borderId="0" xfId="0" applyNumberFormat="1" applyFont="1"/>
    <xf numFmtId="44" fontId="2" fillId="0" borderId="0" xfId="0" applyNumberFormat="1" applyFont="1"/>
    <xf numFmtId="167" fontId="0" fillId="0" borderId="0" xfId="0" applyNumberFormat="1"/>
    <xf numFmtId="37" fontId="2" fillId="0" borderId="1" xfId="0" applyNumberFormat="1" applyFont="1" applyBorder="1"/>
    <xf numFmtId="14" fontId="0" fillId="0" borderId="0" xfId="0" applyNumberFormat="1" applyFont="1"/>
    <xf numFmtId="168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6ECBDF-C454-411D-99F8-CB3E2B93CFA6}">
  <sheetPr codeName="Sheet1"/>
  <dimension ref="A2:O38"/>
  <sheetViews>
    <sheetView zoomScaleNormal="100" workbookViewId="0">
      <selection activeCell="I31" sqref="I31"/>
    </sheetView>
  </sheetViews>
  <sheetFormatPr defaultRowHeight="14.5" x14ac:dyDescent="0.35"/>
  <cols>
    <col min="1" max="1" width="3.1796875" customWidth="1"/>
    <col min="2" max="2" width="19.453125" bestFit="1" customWidth="1"/>
    <col min="3" max="3" width="16.54296875" bestFit="1" customWidth="1"/>
    <col min="4" max="4" width="9.54296875" bestFit="1" customWidth="1"/>
    <col min="5" max="5" width="10.54296875" bestFit="1" customWidth="1"/>
    <col min="9" max="9" width="21" bestFit="1" customWidth="1"/>
    <col min="10" max="10" width="11.453125" bestFit="1" customWidth="1"/>
    <col min="12" max="12" width="12.81640625" bestFit="1" customWidth="1"/>
    <col min="13" max="13" width="9.6328125" bestFit="1" customWidth="1"/>
    <col min="14" max="14" width="9.54296875" bestFit="1" customWidth="1"/>
    <col min="15" max="15" width="9.26953125" bestFit="1" customWidth="1"/>
  </cols>
  <sheetData>
    <row r="2" spans="1:13" x14ac:dyDescent="0.35">
      <c r="A2" t="s">
        <v>32</v>
      </c>
      <c r="B2" s="2" t="s">
        <v>63</v>
      </c>
      <c r="C2" s="12"/>
      <c r="D2" s="13"/>
    </row>
    <row r="3" spans="1:13" x14ac:dyDescent="0.35">
      <c r="C3" t="s">
        <v>64</v>
      </c>
      <c r="I3" s="2" t="s">
        <v>1</v>
      </c>
      <c r="L3" s="2" t="s">
        <v>9</v>
      </c>
    </row>
    <row r="4" spans="1:13" x14ac:dyDescent="0.35">
      <c r="B4" t="s">
        <v>0</v>
      </c>
      <c r="C4" s="22">
        <f>J6</f>
        <v>100000</v>
      </c>
      <c r="I4" t="s">
        <v>2</v>
      </c>
      <c r="J4" s="29">
        <v>100000</v>
      </c>
      <c r="L4" t="s">
        <v>10</v>
      </c>
      <c r="M4" s="23">
        <v>15000</v>
      </c>
    </row>
    <row r="5" spans="1:13" x14ac:dyDescent="0.35">
      <c r="B5" t="s">
        <v>4</v>
      </c>
      <c r="C5" s="24">
        <f>J12</f>
        <v>40000</v>
      </c>
      <c r="I5" s="5" t="s">
        <v>3</v>
      </c>
      <c r="J5" s="32">
        <v>1</v>
      </c>
      <c r="L5" t="s">
        <v>11</v>
      </c>
      <c r="M5" s="18">
        <v>3</v>
      </c>
    </row>
    <row r="6" spans="1:13" x14ac:dyDescent="0.35">
      <c r="B6" t="s">
        <v>5</v>
      </c>
      <c r="C6" s="4">
        <f>J18</f>
        <v>20400</v>
      </c>
      <c r="I6" t="s">
        <v>0</v>
      </c>
      <c r="J6" s="22">
        <f>J5*J4</f>
        <v>100000</v>
      </c>
      <c r="L6" t="s">
        <v>12</v>
      </c>
      <c r="M6" s="18">
        <v>0</v>
      </c>
    </row>
    <row r="7" spans="1:13" x14ac:dyDescent="0.35">
      <c r="B7" t="s">
        <v>22</v>
      </c>
      <c r="C7" s="4">
        <f>C4-C5-C6</f>
        <v>39600</v>
      </c>
      <c r="L7" t="s">
        <v>13</v>
      </c>
      <c r="M7" s="22">
        <f>(M4-M6)/M5</f>
        <v>5000</v>
      </c>
    </row>
    <row r="8" spans="1:13" x14ac:dyDescent="0.35">
      <c r="B8" t="s">
        <v>23</v>
      </c>
      <c r="C8" s="4">
        <f>J26</f>
        <v>5000</v>
      </c>
      <c r="I8" s="2" t="s">
        <v>6</v>
      </c>
    </row>
    <row r="9" spans="1:13" x14ac:dyDescent="0.35">
      <c r="B9" t="s">
        <v>24</v>
      </c>
      <c r="C9" s="18">
        <v>0</v>
      </c>
      <c r="I9" t="s">
        <v>7</v>
      </c>
      <c r="J9" s="23">
        <v>20000</v>
      </c>
      <c r="L9" t="s">
        <v>14</v>
      </c>
      <c r="M9" s="23">
        <v>15000</v>
      </c>
    </row>
    <row r="10" spans="1:13" x14ac:dyDescent="0.35">
      <c r="B10" t="s">
        <v>25</v>
      </c>
      <c r="C10" s="4">
        <f>C7-C8</f>
        <v>34600</v>
      </c>
      <c r="I10" t="s">
        <v>8</v>
      </c>
      <c r="J10" s="18">
        <v>15000</v>
      </c>
      <c r="L10" t="s">
        <v>11</v>
      </c>
      <c r="M10" s="18">
        <v>3</v>
      </c>
    </row>
    <row r="11" spans="1:13" x14ac:dyDescent="0.35">
      <c r="B11" t="s">
        <v>26</v>
      </c>
      <c r="C11" s="4">
        <f>C10*J20</f>
        <v>7266</v>
      </c>
      <c r="I11" s="5" t="s">
        <v>16</v>
      </c>
      <c r="J11" s="6">
        <f>M7</f>
        <v>5000</v>
      </c>
      <c r="L11" t="s">
        <v>12</v>
      </c>
      <c r="M11" s="18">
        <v>0</v>
      </c>
    </row>
    <row r="12" spans="1:13" x14ac:dyDescent="0.35">
      <c r="B12" t="s">
        <v>28</v>
      </c>
      <c r="C12" s="4">
        <f>C10-C11</f>
        <v>27334</v>
      </c>
      <c r="I12" t="s">
        <v>17</v>
      </c>
      <c r="J12" s="22">
        <f>SUM(J9:J11)</f>
        <v>40000</v>
      </c>
      <c r="L12" t="s">
        <v>13</v>
      </c>
      <c r="M12" s="22">
        <f>(M9-M11)/M10</f>
        <v>5000</v>
      </c>
    </row>
    <row r="14" spans="1:13" x14ac:dyDescent="0.35">
      <c r="B14" t="s">
        <v>29</v>
      </c>
      <c r="C14" s="25">
        <f>C12/J21</f>
        <v>5.4668000000000001</v>
      </c>
      <c r="I14" s="2" t="s">
        <v>18</v>
      </c>
      <c r="L14" t="s">
        <v>15</v>
      </c>
      <c r="M14" s="23">
        <v>2000</v>
      </c>
    </row>
    <row r="15" spans="1:13" x14ac:dyDescent="0.35">
      <c r="I15" t="s">
        <v>19</v>
      </c>
      <c r="J15" s="23">
        <v>15000</v>
      </c>
      <c r="L15" t="s">
        <v>11</v>
      </c>
      <c r="M15" s="18">
        <v>5</v>
      </c>
    </row>
    <row r="16" spans="1:13" x14ac:dyDescent="0.35">
      <c r="B16" t="s">
        <v>30</v>
      </c>
      <c r="C16" s="22">
        <f>C7+J11+J16+J17</f>
        <v>50000</v>
      </c>
      <c r="I16" t="s">
        <v>20</v>
      </c>
      <c r="J16" s="4">
        <f>M12</f>
        <v>5000</v>
      </c>
      <c r="L16" t="s">
        <v>12</v>
      </c>
      <c r="M16" s="18">
        <v>0</v>
      </c>
    </row>
    <row r="17" spans="1:14" x14ac:dyDescent="0.35">
      <c r="I17" s="5" t="s">
        <v>21</v>
      </c>
      <c r="J17" s="6">
        <f>M17</f>
        <v>400</v>
      </c>
      <c r="L17" t="s">
        <v>13</v>
      </c>
      <c r="M17" s="22">
        <f>(M14-M16)/M15</f>
        <v>400</v>
      </c>
    </row>
    <row r="18" spans="1:14" x14ac:dyDescent="0.35">
      <c r="A18" t="s">
        <v>32</v>
      </c>
      <c r="B18" s="2" t="s">
        <v>33</v>
      </c>
      <c r="C18" s="14"/>
      <c r="D18" s="1"/>
      <c r="I18" s="7" t="s">
        <v>17</v>
      </c>
      <c r="J18" s="22">
        <f>SUM(J15:J17)</f>
        <v>20400</v>
      </c>
    </row>
    <row r="19" spans="1:14" x14ac:dyDescent="0.35">
      <c r="C19" t="s">
        <v>34</v>
      </c>
      <c r="D19" s="33">
        <v>43466</v>
      </c>
      <c r="E19" s="33">
        <v>43830</v>
      </c>
    </row>
    <row r="20" spans="1:14" x14ac:dyDescent="0.35">
      <c r="B20" s="2" t="s">
        <v>9</v>
      </c>
      <c r="I20" t="s">
        <v>27</v>
      </c>
      <c r="J20" s="34">
        <v>0.21</v>
      </c>
      <c r="L20" s="11" t="s">
        <v>49</v>
      </c>
      <c r="M20" s="11" t="s">
        <v>50</v>
      </c>
      <c r="N20" s="11" t="s">
        <v>51</v>
      </c>
    </row>
    <row r="21" spans="1:14" x14ac:dyDescent="0.35">
      <c r="B21" t="s">
        <v>35</v>
      </c>
      <c r="C21" s="23">
        <v>150000</v>
      </c>
      <c r="D21" s="22">
        <f>C21-D23-D24</f>
        <v>98000</v>
      </c>
      <c r="E21" s="22">
        <f>D21+O35</f>
        <v>155734</v>
      </c>
      <c r="I21" t="s">
        <v>31</v>
      </c>
      <c r="J21" s="18">
        <v>5000</v>
      </c>
      <c r="L21" t="s">
        <v>35</v>
      </c>
      <c r="M21" s="22">
        <f>J6</f>
        <v>100000</v>
      </c>
    </row>
    <row r="22" spans="1:14" x14ac:dyDescent="0.35">
      <c r="B22" s="9" t="s">
        <v>36</v>
      </c>
      <c r="C22" s="18">
        <v>0</v>
      </c>
      <c r="D22" s="18">
        <v>0</v>
      </c>
      <c r="E22" s="4">
        <f>D22+0</f>
        <v>0</v>
      </c>
      <c r="L22" t="s">
        <v>52</v>
      </c>
      <c r="N22" s="24">
        <f>J6</f>
        <v>100000</v>
      </c>
    </row>
    <row r="23" spans="1:14" x14ac:dyDescent="0.35">
      <c r="B23" s="9" t="s">
        <v>37</v>
      </c>
      <c r="C23" s="18">
        <v>0</v>
      </c>
      <c r="D23" s="4">
        <f>C23+J9</f>
        <v>20000</v>
      </c>
      <c r="E23" s="4">
        <f>D23+O36</f>
        <v>0</v>
      </c>
      <c r="I23" s="2" t="s">
        <v>55</v>
      </c>
      <c r="L23" t="s">
        <v>37</v>
      </c>
      <c r="N23" s="4">
        <f>J9</f>
        <v>20000</v>
      </c>
    </row>
    <row r="24" spans="1:14" x14ac:dyDescent="0.35">
      <c r="B24" s="9" t="s">
        <v>38</v>
      </c>
      <c r="C24" s="18">
        <v>0</v>
      </c>
      <c r="D24" s="4">
        <f>C24+M4+M9+M14</f>
        <v>32000</v>
      </c>
      <c r="E24" s="4">
        <f>D24+O37</f>
        <v>21600</v>
      </c>
      <c r="I24" t="s">
        <v>56</v>
      </c>
      <c r="J24" s="23">
        <v>50000</v>
      </c>
      <c r="L24" t="s">
        <v>35</v>
      </c>
      <c r="N24" s="4">
        <f>J10</f>
        <v>15000</v>
      </c>
    </row>
    <row r="25" spans="1:14" x14ac:dyDescent="0.35">
      <c r="B25" s="2" t="s">
        <v>39</v>
      </c>
      <c r="C25" s="24">
        <f>SUM(C21:C24)</f>
        <v>150000</v>
      </c>
      <c r="D25" s="24">
        <f t="shared" ref="D25:E25" si="0">SUM(D21:D24)</f>
        <v>150000</v>
      </c>
      <c r="E25" s="24">
        <f t="shared" si="0"/>
        <v>177334</v>
      </c>
      <c r="I25" t="s">
        <v>57</v>
      </c>
      <c r="J25" s="34">
        <v>0.1</v>
      </c>
      <c r="L25" t="s">
        <v>53</v>
      </c>
      <c r="N25" s="4">
        <f>J11</f>
        <v>5000</v>
      </c>
    </row>
    <row r="26" spans="1:14" x14ac:dyDescent="0.35">
      <c r="I26" t="s">
        <v>58</v>
      </c>
      <c r="J26" s="22">
        <f>J25*J24</f>
        <v>5000</v>
      </c>
      <c r="L26" t="s">
        <v>52</v>
      </c>
      <c r="M26" s="4">
        <f>J12</f>
        <v>40000</v>
      </c>
    </row>
    <row r="27" spans="1:14" x14ac:dyDescent="0.35">
      <c r="B27" s="2" t="s">
        <v>40</v>
      </c>
      <c r="L27" t="s">
        <v>35</v>
      </c>
      <c r="N27" s="4">
        <f>J15</f>
        <v>15000</v>
      </c>
    </row>
    <row r="28" spans="1:14" x14ac:dyDescent="0.35">
      <c r="B28" t="s">
        <v>41</v>
      </c>
      <c r="C28" s="18">
        <v>0</v>
      </c>
      <c r="D28" s="18">
        <v>0</v>
      </c>
      <c r="E28" s="4">
        <f>D28</f>
        <v>0</v>
      </c>
      <c r="L28" t="s">
        <v>53</v>
      </c>
      <c r="N28" s="4">
        <f>SUM(J16:J17)</f>
        <v>5400</v>
      </c>
    </row>
    <row r="29" spans="1:14" x14ac:dyDescent="0.35">
      <c r="B29" s="9" t="s">
        <v>42</v>
      </c>
      <c r="C29" s="18">
        <v>50000</v>
      </c>
      <c r="D29" s="4">
        <f>C29</f>
        <v>50000</v>
      </c>
      <c r="E29" s="4">
        <f>D29+0</f>
        <v>50000</v>
      </c>
      <c r="L29" t="s">
        <v>52</v>
      </c>
      <c r="M29" s="4">
        <f>J18</f>
        <v>20400</v>
      </c>
    </row>
    <row r="30" spans="1:14" x14ac:dyDescent="0.35">
      <c r="B30" s="2" t="s">
        <v>43</v>
      </c>
      <c r="C30" s="4">
        <f>SUM(C28:C29)</f>
        <v>50000</v>
      </c>
      <c r="D30" s="4">
        <f>SUM(D28:D29)</f>
        <v>50000</v>
      </c>
      <c r="E30" s="4">
        <f>SUM(E28:E29)</f>
        <v>50000</v>
      </c>
      <c r="L30" t="s">
        <v>35</v>
      </c>
      <c r="N30" s="4">
        <f>C8</f>
        <v>5000</v>
      </c>
    </row>
    <row r="31" spans="1:14" x14ac:dyDescent="0.35">
      <c r="C31" s="4"/>
      <c r="D31" s="4"/>
      <c r="E31" s="4"/>
      <c r="L31" t="s">
        <v>52</v>
      </c>
      <c r="M31" s="4">
        <f>C8</f>
        <v>5000</v>
      </c>
    </row>
    <row r="32" spans="1:14" x14ac:dyDescent="0.35">
      <c r="B32" s="2" t="s">
        <v>44</v>
      </c>
      <c r="C32" s="4"/>
      <c r="D32" s="4"/>
      <c r="E32" s="4"/>
      <c r="L32" t="s">
        <v>35</v>
      </c>
      <c r="N32" s="4">
        <f>C11</f>
        <v>7266</v>
      </c>
    </row>
    <row r="33" spans="2:15" x14ac:dyDescent="0.35">
      <c r="B33" t="s">
        <v>45</v>
      </c>
      <c r="C33" s="18">
        <v>100000</v>
      </c>
      <c r="D33" s="4">
        <f>C33</f>
        <v>100000</v>
      </c>
      <c r="E33" s="4">
        <f>D33</f>
        <v>100000</v>
      </c>
      <c r="L33" t="s">
        <v>52</v>
      </c>
      <c r="M33" s="22">
        <f>C11</f>
        <v>7266</v>
      </c>
    </row>
    <row r="34" spans="2:15" x14ac:dyDescent="0.35">
      <c r="B34" s="9" t="s">
        <v>46</v>
      </c>
      <c r="C34" s="18">
        <v>0</v>
      </c>
      <c r="D34" s="4">
        <f>C34</f>
        <v>0</v>
      </c>
      <c r="E34" s="4">
        <f>D34-O38</f>
        <v>27334</v>
      </c>
      <c r="L34" s="11" t="s">
        <v>54</v>
      </c>
      <c r="M34" s="5"/>
      <c r="N34" s="5"/>
      <c r="O34" s="5"/>
    </row>
    <row r="35" spans="2:15" x14ac:dyDescent="0.35">
      <c r="B35" s="2" t="s">
        <v>47</v>
      </c>
      <c r="C35" s="22">
        <f>SUM(C33:C34)</f>
        <v>100000</v>
      </c>
      <c r="D35" s="22">
        <f>SUM(D33:D34)</f>
        <v>100000</v>
      </c>
      <c r="E35" s="22">
        <f>SUM(E33:E34)</f>
        <v>127334</v>
      </c>
      <c r="L35" t="s">
        <v>35</v>
      </c>
      <c r="M35" s="22">
        <f>SUMIF($L$21:$L$33,$L35,M$21:M$33)</f>
        <v>100000</v>
      </c>
      <c r="N35" s="22">
        <f>SUMIF($L$21:$L$33,$L35,N$21:N$33)</f>
        <v>42266</v>
      </c>
      <c r="O35" s="22">
        <f>M35-N35</f>
        <v>57734</v>
      </c>
    </row>
    <row r="36" spans="2:15" x14ac:dyDescent="0.35">
      <c r="L36" t="s">
        <v>37</v>
      </c>
      <c r="M36" s="24">
        <f t="shared" ref="M36:N38" si="1">SUMIF($L$21:$L$33,$L36,M$21:M$33)</f>
        <v>0</v>
      </c>
      <c r="N36" s="24">
        <f t="shared" si="1"/>
        <v>20000</v>
      </c>
      <c r="O36" s="24">
        <f t="shared" ref="O36:O38" si="2">M36-N36</f>
        <v>-20000</v>
      </c>
    </row>
    <row r="37" spans="2:15" x14ac:dyDescent="0.35">
      <c r="B37" t="s">
        <v>48</v>
      </c>
      <c r="C37" s="10">
        <f>C25-C30-C35</f>
        <v>0</v>
      </c>
      <c r="D37" s="10">
        <f>D25-D30-D35</f>
        <v>0</v>
      </c>
      <c r="E37" s="10">
        <f>E25-E30-E35</f>
        <v>0</v>
      </c>
      <c r="L37" t="s">
        <v>53</v>
      </c>
      <c r="M37" s="24">
        <f t="shared" si="1"/>
        <v>0</v>
      </c>
      <c r="N37" s="24">
        <f t="shared" si="1"/>
        <v>10400</v>
      </c>
      <c r="O37" s="24">
        <f t="shared" si="2"/>
        <v>-10400</v>
      </c>
    </row>
    <row r="38" spans="2:15" x14ac:dyDescent="0.35">
      <c r="L38" t="s">
        <v>52</v>
      </c>
      <c r="M38" s="22">
        <f t="shared" si="1"/>
        <v>72666</v>
      </c>
      <c r="N38" s="22">
        <f t="shared" si="1"/>
        <v>100000</v>
      </c>
      <c r="O38" s="22">
        <f t="shared" si="2"/>
        <v>-27334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178326-5617-4871-AE6F-CB1A43B70AE2}">
  <sheetPr codeName="Sheet2"/>
  <dimension ref="A2:P44"/>
  <sheetViews>
    <sheetView zoomScaleNormal="100" workbookViewId="0">
      <selection activeCell="B46" sqref="B46"/>
    </sheetView>
  </sheetViews>
  <sheetFormatPr defaultRowHeight="14.5" x14ac:dyDescent="0.35"/>
  <cols>
    <col min="1" max="1" width="3.1796875" customWidth="1"/>
    <col min="2" max="2" width="19.453125" bestFit="1" customWidth="1"/>
    <col min="3" max="3" width="16.54296875" bestFit="1" customWidth="1"/>
    <col min="4" max="4" width="9.54296875" bestFit="1" customWidth="1"/>
    <col min="5" max="5" width="10.54296875" bestFit="1" customWidth="1"/>
    <col min="9" max="9" width="21" bestFit="1" customWidth="1"/>
    <col min="10" max="10" width="11.453125" bestFit="1" customWidth="1"/>
    <col min="12" max="12" width="12.81640625" bestFit="1" customWidth="1"/>
    <col min="13" max="13" width="9.6328125" bestFit="1" customWidth="1"/>
    <col min="14" max="14" width="9" bestFit="1" customWidth="1"/>
    <col min="15" max="15" width="9.54296875" bestFit="1" customWidth="1"/>
  </cols>
  <sheetData>
    <row r="2" spans="1:16" x14ac:dyDescent="0.35">
      <c r="A2" t="s">
        <v>32</v>
      </c>
      <c r="B2" s="2" t="s">
        <v>63</v>
      </c>
      <c r="C2" s="12"/>
      <c r="D2" s="13"/>
    </row>
    <row r="3" spans="1:16" x14ac:dyDescent="0.35">
      <c r="C3" t="s">
        <v>64</v>
      </c>
      <c r="I3" s="2" t="s">
        <v>1</v>
      </c>
      <c r="L3" s="2" t="s">
        <v>9</v>
      </c>
    </row>
    <row r="4" spans="1:16" x14ac:dyDescent="0.35">
      <c r="B4" t="s">
        <v>0</v>
      </c>
      <c r="C4" s="22">
        <f>J6</f>
        <v>100000</v>
      </c>
      <c r="D4" s="24"/>
      <c r="E4" s="24"/>
      <c r="F4" s="24"/>
      <c r="G4" s="24"/>
      <c r="H4" s="24"/>
      <c r="I4" s="24" t="s">
        <v>2</v>
      </c>
      <c r="J4" s="29">
        <v>100000</v>
      </c>
      <c r="K4" s="24"/>
      <c r="L4" s="24" t="s">
        <v>10</v>
      </c>
      <c r="M4" s="23">
        <v>15000</v>
      </c>
      <c r="N4" s="24"/>
      <c r="O4" s="24"/>
      <c r="P4" s="24"/>
    </row>
    <row r="5" spans="1:16" x14ac:dyDescent="0.35">
      <c r="B5" t="s">
        <v>4</v>
      </c>
      <c r="C5" s="24">
        <f>J12</f>
        <v>40000</v>
      </c>
      <c r="D5" s="24"/>
      <c r="E5" s="24"/>
      <c r="F5" s="24"/>
      <c r="G5" s="24"/>
      <c r="H5" s="24"/>
      <c r="I5" s="28" t="s">
        <v>3</v>
      </c>
      <c r="J5" s="32">
        <v>1</v>
      </c>
      <c r="K5" s="24"/>
      <c r="L5" s="24" t="s">
        <v>11</v>
      </c>
      <c r="M5" s="29">
        <v>3</v>
      </c>
      <c r="N5" s="24"/>
      <c r="O5" s="24"/>
      <c r="P5" s="24"/>
    </row>
    <row r="6" spans="1:16" x14ac:dyDescent="0.35">
      <c r="B6" t="s">
        <v>5</v>
      </c>
      <c r="C6" s="24">
        <f>J18</f>
        <v>20400</v>
      </c>
      <c r="D6" s="24"/>
      <c r="E6" s="24"/>
      <c r="F6" s="24"/>
      <c r="G6" s="24"/>
      <c r="H6" s="24"/>
      <c r="I6" s="24" t="s">
        <v>0</v>
      </c>
      <c r="J6" s="22">
        <f>J5*J4</f>
        <v>100000</v>
      </c>
      <c r="K6" s="24"/>
      <c r="L6" s="24" t="s">
        <v>12</v>
      </c>
      <c r="M6" s="29">
        <v>0</v>
      </c>
      <c r="N6" s="24"/>
      <c r="O6" s="24"/>
      <c r="P6" s="24"/>
    </row>
    <row r="7" spans="1:16" x14ac:dyDescent="0.35">
      <c r="B7" t="s">
        <v>22</v>
      </c>
      <c r="C7" s="24">
        <f>C4-C5-C6</f>
        <v>39600</v>
      </c>
      <c r="D7" s="24"/>
      <c r="E7" s="24"/>
      <c r="F7" s="24"/>
      <c r="G7" s="24"/>
      <c r="H7" s="24"/>
      <c r="I7" s="24"/>
      <c r="J7" s="24"/>
      <c r="K7" s="24"/>
      <c r="L7" s="24" t="s">
        <v>13</v>
      </c>
      <c r="M7" s="22">
        <f>(M4-M6)/M5</f>
        <v>5000</v>
      </c>
      <c r="N7" s="24"/>
      <c r="O7" s="24"/>
      <c r="P7" s="24"/>
    </row>
    <row r="8" spans="1:16" x14ac:dyDescent="0.35">
      <c r="B8" t="s">
        <v>23</v>
      </c>
      <c r="C8" s="24">
        <f>J26-J28</f>
        <v>3000</v>
      </c>
      <c r="D8" s="24"/>
      <c r="E8" s="24"/>
      <c r="F8" s="24"/>
      <c r="G8" s="24"/>
      <c r="H8" s="24"/>
      <c r="I8" s="26" t="s">
        <v>6</v>
      </c>
      <c r="J8" s="24"/>
      <c r="K8" s="24"/>
      <c r="L8" s="24"/>
      <c r="M8" s="24"/>
      <c r="N8" s="24"/>
      <c r="O8" s="24"/>
      <c r="P8" s="24"/>
    </row>
    <row r="9" spans="1:16" x14ac:dyDescent="0.35">
      <c r="B9" t="s">
        <v>24</v>
      </c>
      <c r="C9" s="24">
        <f>-J30</f>
        <v>-5000</v>
      </c>
      <c r="D9" s="24"/>
      <c r="E9" s="24"/>
      <c r="F9" s="24"/>
      <c r="G9" s="24"/>
      <c r="H9" s="24"/>
      <c r="I9" s="24" t="s">
        <v>7</v>
      </c>
      <c r="J9" s="23">
        <v>20000</v>
      </c>
      <c r="K9" s="24"/>
      <c r="L9" s="24" t="s">
        <v>14</v>
      </c>
      <c r="M9" s="23">
        <v>15000</v>
      </c>
      <c r="N9" s="24"/>
      <c r="O9" s="24"/>
      <c r="P9" s="24"/>
    </row>
    <row r="10" spans="1:16" x14ac:dyDescent="0.35">
      <c r="B10" t="s">
        <v>25</v>
      </c>
      <c r="C10" s="24">
        <f>C7-C8+C9</f>
        <v>31600</v>
      </c>
      <c r="D10" s="24"/>
      <c r="E10" s="24"/>
      <c r="F10" s="24"/>
      <c r="G10" s="24"/>
      <c r="H10" s="24"/>
      <c r="I10" s="24" t="s">
        <v>8</v>
      </c>
      <c r="J10" s="29">
        <v>15000</v>
      </c>
      <c r="K10" s="24"/>
      <c r="L10" s="24" t="s">
        <v>11</v>
      </c>
      <c r="M10" s="29">
        <v>3</v>
      </c>
      <c r="N10" s="24"/>
      <c r="O10" s="24"/>
      <c r="P10" s="24"/>
    </row>
    <row r="11" spans="1:16" x14ac:dyDescent="0.35">
      <c r="B11" t="s">
        <v>26</v>
      </c>
      <c r="C11" s="24">
        <f>C10*J20</f>
        <v>6636</v>
      </c>
      <c r="D11" s="24"/>
      <c r="E11" s="24"/>
      <c r="F11" s="24"/>
      <c r="G11" s="24"/>
      <c r="H11" s="24"/>
      <c r="I11" s="28" t="s">
        <v>16</v>
      </c>
      <c r="J11" s="28">
        <f>M7</f>
        <v>5000</v>
      </c>
      <c r="K11" s="24"/>
      <c r="L11" s="24" t="s">
        <v>12</v>
      </c>
      <c r="M11" s="29">
        <v>0</v>
      </c>
      <c r="N11" s="24"/>
      <c r="O11" s="24"/>
      <c r="P11" s="24"/>
    </row>
    <row r="12" spans="1:16" x14ac:dyDescent="0.35">
      <c r="B12" t="s">
        <v>28</v>
      </c>
      <c r="C12" s="24">
        <f>C10-C11</f>
        <v>24964</v>
      </c>
      <c r="D12" s="24"/>
      <c r="E12" s="24"/>
      <c r="F12" s="24"/>
      <c r="G12" s="24"/>
      <c r="H12" s="24"/>
      <c r="I12" s="24" t="s">
        <v>17</v>
      </c>
      <c r="J12" s="22">
        <f>SUM(J9:J11)</f>
        <v>40000</v>
      </c>
      <c r="K12" s="24"/>
      <c r="L12" s="24" t="s">
        <v>13</v>
      </c>
      <c r="M12" s="22">
        <f>(M9-M11)/M10</f>
        <v>5000</v>
      </c>
      <c r="N12" s="24"/>
      <c r="O12" s="24"/>
      <c r="P12" s="24"/>
    </row>
    <row r="13" spans="1:16" x14ac:dyDescent="0.35"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</row>
    <row r="14" spans="1:16" x14ac:dyDescent="0.35">
      <c r="B14" t="s">
        <v>29</v>
      </c>
      <c r="C14" s="25">
        <f>C12/J35</f>
        <v>3.5662857142857143</v>
      </c>
      <c r="D14" s="24"/>
      <c r="E14" s="24"/>
      <c r="F14" s="24"/>
      <c r="G14" s="24"/>
      <c r="H14" s="24"/>
      <c r="I14" s="26" t="s">
        <v>18</v>
      </c>
      <c r="J14" s="24"/>
      <c r="K14" s="24"/>
      <c r="L14" s="24" t="s">
        <v>15</v>
      </c>
      <c r="M14" s="23">
        <v>2000</v>
      </c>
      <c r="N14" s="24"/>
      <c r="O14" s="24"/>
      <c r="P14" s="24"/>
    </row>
    <row r="15" spans="1:16" x14ac:dyDescent="0.35">
      <c r="C15" s="24"/>
      <c r="D15" s="24"/>
      <c r="E15" s="24"/>
      <c r="F15" s="24"/>
      <c r="G15" s="24"/>
      <c r="H15" s="24"/>
      <c r="I15" s="24" t="s">
        <v>19</v>
      </c>
      <c r="J15" s="23">
        <v>15000</v>
      </c>
      <c r="K15" s="24"/>
      <c r="L15" s="24" t="s">
        <v>11</v>
      </c>
      <c r="M15" s="29">
        <v>5</v>
      </c>
      <c r="N15" s="24"/>
      <c r="O15" s="24"/>
      <c r="P15" s="24"/>
    </row>
    <row r="16" spans="1:16" x14ac:dyDescent="0.35">
      <c r="B16" t="s">
        <v>30</v>
      </c>
      <c r="C16" s="22">
        <f>C7+J11+J16+J17</f>
        <v>50000</v>
      </c>
      <c r="D16" s="24"/>
      <c r="E16" s="24"/>
      <c r="F16" s="24"/>
      <c r="G16" s="24"/>
      <c r="H16" s="24"/>
      <c r="I16" s="24" t="s">
        <v>20</v>
      </c>
      <c r="J16" s="24">
        <f>M12</f>
        <v>5000</v>
      </c>
      <c r="K16" s="24"/>
      <c r="L16" s="24" t="s">
        <v>12</v>
      </c>
      <c r="M16" s="29">
        <v>0</v>
      </c>
      <c r="N16" s="24"/>
      <c r="O16" s="24"/>
      <c r="P16" s="24"/>
    </row>
    <row r="17" spans="1:16" x14ac:dyDescent="0.35">
      <c r="C17" s="24"/>
      <c r="D17" s="24"/>
      <c r="E17" s="24"/>
      <c r="F17" s="24"/>
      <c r="G17" s="24"/>
      <c r="H17" s="24"/>
      <c r="I17" s="28" t="s">
        <v>21</v>
      </c>
      <c r="J17" s="28">
        <f>M17</f>
        <v>400</v>
      </c>
      <c r="K17" s="24"/>
      <c r="L17" s="24" t="s">
        <v>13</v>
      </c>
      <c r="M17" s="22">
        <f>(M14-M16)/M15</f>
        <v>400</v>
      </c>
      <c r="N17" s="24"/>
      <c r="O17" s="24"/>
      <c r="P17" s="24"/>
    </row>
    <row r="18" spans="1:16" x14ac:dyDescent="0.35">
      <c r="A18" t="s">
        <v>32</v>
      </c>
      <c r="B18" s="2" t="s">
        <v>33</v>
      </c>
      <c r="C18" s="24"/>
      <c r="D18" s="24"/>
      <c r="E18" s="24"/>
      <c r="F18" s="24"/>
      <c r="G18" s="24"/>
      <c r="H18" s="24"/>
      <c r="I18" s="24" t="s">
        <v>17</v>
      </c>
      <c r="J18" s="22">
        <f>SUM(J15:J17)</f>
        <v>20400</v>
      </c>
      <c r="K18" s="24"/>
      <c r="L18" s="24"/>
      <c r="M18" s="24"/>
      <c r="N18" s="24"/>
      <c r="O18" s="24"/>
      <c r="P18" s="24"/>
    </row>
    <row r="19" spans="1:16" x14ac:dyDescent="0.35">
      <c r="C19" s="24" t="s">
        <v>34</v>
      </c>
      <c r="D19" s="33">
        <v>43466</v>
      </c>
      <c r="E19" s="33">
        <v>43830</v>
      </c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</row>
    <row r="20" spans="1:16" x14ac:dyDescent="0.35">
      <c r="B20" s="2" t="s">
        <v>9</v>
      </c>
      <c r="C20" s="24"/>
      <c r="D20" s="24"/>
      <c r="E20" s="24"/>
      <c r="F20" s="24"/>
      <c r="G20" s="24"/>
      <c r="H20" s="24"/>
      <c r="I20" s="24" t="s">
        <v>27</v>
      </c>
      <c r="J20" s="34">
        <v>0.21</v>
      </c>
      <c r="K20" s="24"/>
      <c r="L20" s="27" t="s">
        <v>49</v>
      </c>
      <c r="M20" s="27" t="s">
        <v>50</v>
      </c>
      <c r="N20" s="27" t="s">
        <v>51</v>
      </c>
      <c r="O20" s="24"/>
      <c r="P20" s="24"/>
    </row>
    <row r="21" spans="1:16" x14ac:dyDescent="0.35">
      <c r="B21" t="s">
        <v>35</v>
      </c>
      <c r="C21" s="23">
        <v>150000</v>
      </c>
      <c r="D21" s="22">
        <f>C21-D23-D24</f>
        <v>98000</v>
      </c>
      <c r="E21" s="22">
        <f>D21+O40</f>
        <v>233364</v>
      </c>
      <c r="F21" s="24"/>
      <c r="G21" s="24"/>
      <c r="H21" s="24"/>
      <c r="I21" s="24" t="s">
        <v>31</v>
      </c>
      <c r="J21" s="29">
        <v>5000</v>
      </c>
      <c r="K21" s="24"/>
      <c r="L21" s="24" t="s">
        <v>35</v>
      </c>
      <c r="M21" s="22">
        <f>J6</f>
        <v>100000</v>
      </c>
      <c r="N21" s="22"/>
      <c r="O21" s="24"/>
      <c r="P21" s="24"/>
    </row>
    <row r="22" spans="1:16" x14ac:dyDescent="0.35">
      <c r="B22" s="9" t="s">
        <v>36</v>
      </c>
      <c r="C22" s="29">
        <v>0</v>
      </c>
      <c r="D22" s="29">
        <v>0</v>
      </c>
      <c r="E22" s="24">
        <f>D22+0</f>
        <v>0</v>
      </c>
      <c r="F22" s="24"/>
      <c r="G22" s="24"/>
      <c r="H22" s="24"/>
      <c r="I22" s="24"/>
      <c r="J22" s="24"/>
      <c r="K22" s="24"/>
      <c r="L22" s="24" t="s">
        <v>52</v>
      </c>
      <c r="M22" s="24"/>
      <c r="N22" s="24">
        <f>J6</f>
        <v>100000</v>
      </c>
      <c r="O22" s="24"/>
      <c r="P22" s="24"/>
    </row>
    <row r="23" spans="1:16" x14ac:dyDescent="0.35">
      <c r="B23" s="9" t="s">
        <v>37</v>
      </c>
      <c r="C23" s="29">
        <v>0</v>
      </c>
      <c r="D23" s="24">
        <f>C23+J9</f>
        <v>20000</v>
      </c>
      <c r="E23" s="24">
        <f>D23+O41</f>
        <v>0</v>
      </c>
      <c r="F23" s="24"/>
      <c r="G23" s="24"/>
      <c r="H23" s="24"/>
      <c r="I23" s="26" t="s">
        <v>55</v>
      </c>
      <c r="J23" s="24"/>
      <c r="K23" s="24"/>
      <c r="L23" s="24" t="s">
        <v>37</v>
      </c>
      <c r="M23" s="24"/>
      <c r="N23" s="24">
        <f>J9</f>
        <v>20000</v>
      </c>
      <c r="O23" s="24"/>
      <c r="P23" s="24"/>
    </row>
    <row r="24" spans="1:16" x14ac:dyDescent="0.35">
      <c r="B24" s="9" t="s">
        <v>38</v>
      </c>
      <c r="C24" s="29">
        <v>0</v>
      </c>
      <c r="D24" s="24">
        <f>C24+M4+M9+M14</f>
        <v>32000</v>
      </c>
      <c r="E24" s="24">
        <f>D24+O42</f>
        <v>21600</v>
      </c>
      <c r="F24" s="24"/>
      <c r="G24" s="24"/>
      <c r="H24" s="24"/>
      <c r="I24" s="24" t="s">
        <v>56</v>
      </c>
      <c r="J24" s="23">
        <v>50000</v>
      </c>
      <c r="K24" s="24"/>
      <c r="L24" s="24" t="s">
        <v>35</v>
      </c>
      <c r="M24" s="24"/>
      <c r="N24" s="24">
        <f>J10</f>
        <v>15000</v>
      </c>
      <c r="O24" s="24"/>
      <c r="P24" s="24"/>
    </row>
    <row r="25" spans="1:16" x14ac:dyDescent="0.35">
      <c r="B25" s="2" t="s">
        <v>39</v>
      </c>
      <c r="C25" s="24">
        <f>SUM(C21:C24)</f>
        <v>150000</v>
      </c>
      <c r="D25" s="24">
        <f t="shared" ref="D25:E25" si="0">SUM(D21:D24)</f>
        <v>150000</v>
      </c>
      <c r="E25" s="24">
        <f t="shared" si="0"/>
        <v>254964</v>
      </c>
      <c r="F25" s="24"/>
      <c r="G25" s="24"/>
      <c r="H25" s="24"/>
      <c r="I25" s="28" t="s">
        <v>57</v>
      </c>
      <c r="J25" s="34">
        <v>0.1</v>
      </c>
      <c r="K25" s="24"/>
      <c r="L25" s="24" t="s">
        <v>53</v>
      </c>
      <c r="M25" s="24"/>
      <c r="N25" s="24">
        <f>J11</f>
        <v>5000</v>
      </c>
      <c r="O25" s="24"/>
      <c r="P25" s="24"/>
    </row>
    <row r="26" spans="1:16" x14ac:dyDescent="0.35">
      <c r="C26" s="24"/>
      <c r="D26" s="24"/>
      <c r="E26" s="24"/>
      <c r="F26" s="24"/>
      <c r="G26" s="24"/>
      <c r="H26" s="24"/>
      <c r="I26" s="24" t="s">
        <v>58</v>
      </c>
      <c r="J26" s="22">
        <f>J25*J24</f>
        <v>5000</v>
      </c>
      <c r="K26" s="24"/>
      <c r="L26" s="24" t="s">
        <v>52</v>
      </c>
      <c r="M26" s="24">
        <f>J12</f>
        <v>40000</v>
      </c>
      <c r="N26" s="24"/>
      <c r="O26" s="24"/>
      <c r="P26" s="24"/>
    </row>
    <row r="27" spans="1:16" x14ac:dyDescent="0.35">
      <c r="B27" s="2" t="s">
        <v>40</v>
      </c>
      <c r="C27" s="24"/>
      <c r="D27" s="24"/>
      <c r="E27" s="24"/>
      <c r="F27" s="24"/>
      <c r="G27" s="24"/>
      <c r="H27" s="24"/>
      <c r="I27" s="24"/>
      <c r="J27" s="24"/>
      <c r="K27" s="24"/>
      <c r="L27" s="24" t="s">
        <v>35</v>
      </c>
      <c r="M27" s="24"/>
      <c r="N27" s="24">
        <f>J15</f>
        <v>15000</v>
      </c>
      <c r="O27" s="24"/>
      <c r="P27" s="24"/>
    </row>
    <row r="28" spans="1:16" x14ac:dyDescent="0.35">
      <c r="B28" t="s">
        <v>41</v>
      </c>
      <c r="C28" s="29">
        <v>0</v>
      </c>
      <c r="D28" s="29">
        <v>0</v>
      </c>
      <c r="E28" s="24">
        <f>D28</f>
        <v>0</v>
      </c>
      <c r="F28" s="24"/>
      <c r="G28" s="24"/>
      <c r="H28" s="24"/>
      <c r="I28" s="24" t="s">
        <v>59</v>
      </c>
      <c r="J28" s="23">
        <v>2000</v>
      </c>
      <c r="K28" s="24"/>
      <c r="L28" s="24" t="s">
        <v>53</v>
      </c>
      <c r="M28" s="24"/>
      <c r="N28" s="24">
        <f>SUM(J16:J17)</f>
        <v>5400</v>
      </c>
      <c r="O28" s="24"/>
      <c r="P28" s="24"/>
    </row>
    <row r="29" spans="1:16" x14ac:dyDescent="0.35">
      <c r="B29" s="9" t="s">
        <v>42</v>
      </c>
      <c r="C29" s="29">
        <v>50000</v>
      </c>
      <c r="D29" s="24">
        <f>C29</f>
        <v>50000</v>
      </c>
      <c r="E29" s="24">
        <f>D29+0</f>
        <v>50000</v>
      </c>
      <c r="F29" s="24"/>
      <c r="G29" s="24"/>
      <c r="H29" s="24"/>
      <c r="I29" s="24"/>
      <c r="J29" s="24"/>
      <c r="K29" s="24"/>
      <c r="L29" s="24" t="s">
        <v>52</v>
      </c>
      <c r="M29" s="24">
        <f>J18</f>
        <v>20400</v>
      </c>
      <c r="N29" s="24"/>
      <c r="O29" s="24"/>
      <c r="P29" s="24"/>
    </row>
    <row r="30" spans="1:16" x14ac:dyDescent="0.35">
      <c r="B30" s="2" t="s">
        <v>43</v>
      </c>
      <c r="C30" s="24">
        <f>SUM(C28:C29)</f>
        <v>50000</v>
      </c>
      <c r="D30" s="24">
        <f>SUM(D28:D29)</f>
        <v>50000</v>
      </c>
      <c r="E30" s="24">
        <f>SUM(E28:E29)</f>
        <v>50000</v>
      </c>
      <c r="F30" s="24"/>
      <c r="G30" s="24"/>
      <c r="H30" s="24"/>
      <c r="I30" s="24" t="s">
        <v>60</v>
      </c>
      <c r="J30" s="23">
        <v>5000</v>
      </c>
      <c r="K30" s="24"/>
      <c r="L30" s="24" t="s">
        <v>35</v>
      </c>
      <c r="M30" s="24"/>
      <c r="N30" s="24">
        <f>C8</f>
        <v>3000</v>
      </c>
      <c r="O30" s="24"/>
      <c r="P30" s="24"/>
    </row>
    <row r="31" spans="1:16" x14ac:dyDescent="0.35">
      <c r="C31" s="24"/>
      <c r="D31" s="24"/>
      <c r="E31" s="24"/>
      <c r="F31" s="24"/>
      <c r="G31" s="24"/>
      <c r="H31" s="24"/>
      <c r="I31" s="24"/>
      <c r="J31" s="24"/>
      <c r="K31" s="24"/>
      <c r="L31" s="24" t="s">
        <v>52</v>
      </c>
      <c r="M31" s="24">
        <f>C8</f>
        <v>3000</v>
      </c>
      <c r="N31" s="24"/>
      <c r="O31" s="24"/>
      <c r="P31" s="24"/>
    </row>
    <row r="32" spans="1:16" x14ac:dyDescent="0.35">
      <c r="B32" s="2" t="s">
        <v>44</v>
      </c>
      <c r="C32" s="24"/>
      <c r="D32" s="24"/>
      <c r="E32" s="24"/>
      <c r="F32" s="24"/>
      <c r="G32" s="24"/>
      <c r="H32" s="24"/>
      <c r="I32" s="24" t="s">
        <v>61</v>
      </c>
      <c r="J32" s="23">
        <v>80000</v>
      </c>
      <c r="K32" s="24"/>
      <c r="L32" s="24" t="s">
        <v>35</v>
      </c>
      <c r="M32" s="24"/>
      <c r="N32" s="24">
        <f>C11</f>
        <v>6636</v>
      </c>
      <c r="O32" s="24"/>
      <c r="P32" s="24"/>
    </row>
    <row r="33" spans="2:16" x14ac:dyDescent="0.35">
      <c r="B33" t="s">
        <v>45</v>
      </c>
      <c r="C33" s="29">
        <v>100000</v>
      </c>
      <c r="D33" s="24">
        <f>C33</f>
        <v>100000</v>
      </c>
      <c r="E33" s="24">
        <f>D33-O44</f>
        <v>180000</v>
      </c>
      <c r="F33" s="24"/>
      <c r="G33" s="24"/>
      <c r="H33" s="24"/>
      <c r="I33" s="24" t="s">
        <v>62</v>
      </c>
      <c r="J33" s="29">
        <v>4000</v>
      </c>
      <c r="K33" s="24"/>
      <c r="L33" s="24" t="s">
        <v>52</v>
      </c>
      <c r="M33" s="24">
        <f>C11</f>
        <v>6636</v>
      </c>
      <c r="N33" s="24"/>
      <c r="O33" s="24"/>
      <c r="P33" s="24"/>
    </row>
    <row r="34" spans="2:16" x14ac:dyDescent="0.35">
      <c r="B34" s="9" t="s">
        <v>46</v>
      </c>
      <c r="C34" s="29">
        <v>0</v>
      </c>
      <c r="D34" s="24">
        <f>C34</f>
        <v>0</v>
      </c>
      <c r="E34" s="24">
        <f>D34-O43</f>
        <v>24964</v>
      </c>
      <c r="F34" s="24"/>
      <c r="G34" s="24"/>
      <c r="H34" s="24"/>
      <c r="I34" s="24"/>
      <c r="J34" s="24"/>
      <c r="K34" s="24"/>
      <c r="L34" s="24" t="s">
        <v>35</v>
      </c>
      <c r="M34" s="24">
        <f>J32</f>
        <v>80000</v>
      </c>
      <c r="N34" s="24"/>
      <c r="O34" s="24"/>
      <c r="P34" s="24"/>
    </row>
    <row r="35" spans="2:16" x14ac:dyDescent="0.35">
      <c r="B35" s="2" t="s">
        <v>47</v>
      </c>
      <c r="C35" s="22">
        <f>SUM(C33:C34)</f>
        <v>100000</v>
      </c>
      <c r="D35" s="22">
        <f>SUM(D33:D34)</f>
        <v>100000</v>
      </c>
      <c r="E35" s="22">
        <f>SUM(E33:E34)</f>
        <v>204964</v>
      </c>
      <c r="F35" s="24"/>
      <c r="G35" s="24"/>
      <c r="H35" s="24"/>
      <c r="I35" s="24" t="s">
        <v>72</v>
      </c>
      <c r="J35" s="24">
        <f>0.5*J21+0.5*(J21+J33)</f>
        <v>7000</v>
      </c>
      <c r="K35" s="24"/>
      <c r="L35" s="24" t="s">
        <v>45</v>
      </c>
      <c r="M35" s="24"/>
      <c r="N35" s="24">
        <f>J32</f>
        <v>80000</v>
      </c>
      <c r="O35" s="24"/>
      <c r="P35" s="24"/>
    </row>
    <row r="36" spans="2:16" x14ac:dyDescent="0.35">
      <c r="C36" s="24"/>
      <c r="D36" s="24"/>
      <c r="E36" s="24"/>
      <c r="F36" s="24"/>
      <c r="G36" s="24"/>
      <c r="H36" s="24"/>
      <c r="I36" s="24"/>
      <c r="J36" s="24"/>
      <c r="K36" s="24"/>
      <c r="L36" s="24" t="s">
        <v>35</v>
      </c>
      <c r="M36" s="24"/>
      <c r="N36" s="24">
        <f>J30</f>
        <v>5000</v>
      </c>
      <c r="O36" s="24"/>
      <c r="P36" s="24"/>
    </row>
    <row r="37" spans="2:16" x14ac:dyDescent="0.35">
      <c r="B37" t="s">
        <v>48</v>
      </c>
      <c r="C37" s="10">
        <f>C25-C30-C35</f>
        <v>0</v>
      </c>
      <c r="D37" s="10">
        <f>D25-D30-D35</f>
        <v>0</v>
      </c>
      <c r="E37" s="10">
        <f>E25-E30-E35</f>
        <v>0</v>
      </c>
      <c r="F37" s="24"/>
      <c r="G37" s="24"/>
      <c r="H37" s="24"/>
      <c r="I37" s="24"/>
      <c r="J37" s="24"/>
      <c r="K37" s="24"/>
      <c r="L37" s="24" t="s">
        <v>52</v>
      </c>
      <c r="M37" s="22">
        <f>J30</f>
        <v>5000</v>
      </c>
      <c r="N37" s="22"/>
      <c r="O37" s="24"/>
      <c r="P37" s="24"/>
    </row>
    <row r="38" spans="2:16" x14ac:dyDescent="0.35"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</row>
    <row r="39" spans="2:16" x14ac:dyDescent="0.35">
      <c r="C39" s="24"/>
      <c r="D39" s="24"/>
      <c r="E39" s="24"/>
      <c r="F39" s="24"/>
      <c r="G39" s="24"/>
      <c r="H39" s="24"/>
      <c r="I39" s="24"/>
      <c r="J39" s="24"/>
      <c r="K39" s="24"/>
      <c r="L39" s="27" t="s">
        <v>54</v>
      </c>
      <c r="M39" s="28"/>
      <c r="N39" s="28"/>
      <c r="O39" s="28"/>
      <c r="P39" s="24"/>
    </row>
    <row r="40" spans="2:16" x14ac:dyDescent="0.35">
      <c r="C40" s="24"/>
      <c r="D40" s="24"/>
      <c r="E40" s="24"/>
      <c r="F40" s="24"/>
      <c r="G40" s="24"/>
      <c r="H40" s="24"/>
      <c r="I40" s="24"/>
      <c r="J40" s="24"/>
      <c r="K40" s="24"/>
      <c r="L40" s="24" t="s">
        <v>35</v>
      </c>
      <c r="M40" s="22">
        <f>SUMIF($L$21:$L$38,$L40,M$21:M$38)</f>
        <v>180000</v>
      </c>
      <c r="N40" s="22">
        <f>SUMIF($L$21:$L$38,$L40,N$21:N$38)</f>
        <v>44636</v>
      </c>
      <c r="O40" s="22">
        <f>M40-N40</f>
        <v>135364</v>
      </c>
      <c r="P40" s="24"/>
    </row>
    <row r="41" spans="2:16" x14ac:dyDescent="0.35">
      <c r="C41" s="24"/>
      <c r="D41" s="24"/>
      <c r="E41" s="24"/>
      <c r="F41" s="24"/>
      <c r="G41" s="24"/>
      <c r="H41" s="24"/>
      <c r="I41" s="24"/>
      <c r="J41" s="24"/>
      <c r="K41" s="24"/>
      <c r="L41" s="24" t="s">
        <v>37</v>
      </c>
      <c r="M41" s="24">
        <f t="shared" ref="M41:N44" si="1">SUMIF($L$21:$L$38,$L41,M$21:M$38)</f>
        <v>0</v>
      </c>
      <c r="N41" s="24">
        <f t="shared" si="1"/>
        <v>20000</v>
      </c>
      <c r="O41" s="24">
        <f t="shared" ref="O41:O44" si="2">M41-N41</f>
        <v>-20000</v>
      </c>
      <c r="P41" s="24"/>
    </row>
    <row r="42" spans="2:16" x14ac:dyDescent="0.35">
      <c r="C42" s="24"/>
      <c r="D42" s="24"/>
      <c r="E42" s="24"/>
      <c r="F42" s="24"/>
      <c r="G42" s="24"/>
      <c r="H42" s="24"/>
      <c r="I42" s="24"/>
      <c r="J42" s="24"/>
      <c r="K42" s="24"/>
      <c r="L42" s="24" t="s">
        <v>53</v>
      </c>
      <c r="M42" s="24">
        <f t="shared" si="1"/>
        <v>0</v>
      </c>
      <c r="N42" s="24">
        <f t="shared" si="1"/>
        <v>10400</v>
      </c>
      <c r="O42" s="24">
        <f t="shared" si="2"/>
        <v>-10400</v>
      </c>
      <c r="P42" s="24"/>
    </row>
    <row r="43" spans="2:16" x14ac:dyDescent="0.35">
      <c r="C43" s="24"/>
      <c r="D43" s="24"/>
      <c r="E43" s="24"/>
      <c r="F43" s="24"/>
      <c r="G43" s="24"/>
      <c r="H43" s="24"/>
      <c r="I43" s="24"/>
      <c r="J43" s="24"/>
      <c r="K43" s="24"/>
      <c r="L43" s="24" t="s">
        <v>52</v>
      </c>
      <c r="M43" s="24">
        <f t="shared" si="1"/>
        <v>75036</v>
      </c>
      <c r="N43" s="24">
        <f t="shared" si="1"/>
        <v>100000</v>
      </c>
      <c r="O43" s="24">
        <f t="shared" si="2"/>
        <v>-24964</v>
      </c>
      <c r="P43" s="24"/>
    </row>
    <row r="44" spans="2:16" x14ac:dyDescent="0.35">
      <c r="C44" s="24"/>
      <c r="D44" s="24"/>
      <c r="E44" s="24"/>
      <c r="F44" s="24"/>
      <c r="G44" s="24"/>
      <c r="H44" s="24"/>
      <c r="I44" s="24"/>
      <c r="J44" s="24"/>
      <c r="K44" s="24"/>
      <c r="L44" s="24" t="s">
        <v>45</v>
      </c>
      <c r="M44" s="22">
        <f t="shared" si="1"/>
        <v>0</v>
      </c>
      <c r="N44" s="22">
        <f t="shared" si="1"/>
        <v>80000</v>
      </c>
      <c r="O44" s="22">
        <f t="shared" si="2"/>
        <v>-80000</v>
      </c>
      <c r="P44" s="24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C60842-46ED-4C11-BA10-690EEF900EC1}">
  <sheetPr codeName="Sheet3"/>
  <dimension ref="A2:U72"/>
  <sheetViews>
    <sheetView tabSelected="1" zoomScaleNormal="100" workbookViewId="0">
      <selection activeCell="H14" sqref="H14"/>
    </sheetView>
  </sheetViews>
  <sheetFormatPr defaultRowHeight="14.5" x14ac:dyDescent="0.35"/>
  <cols>
    <col min="1" max="1" width="3.1796875" customWidth="1"/>
    <col min="2" max="2" width="19.453125" bestFit="1" customWidth="1"/>
    <col min="3" max="3" width="16.453125" bestFit="1" customWidth="1"/>
    <col min="4" max="5" width="10.453125" bestFit="1" customWidth="1"/>
    <col min="9" max="9" width="21" bestFit="1" customWidth="1"/>
    <col min="10" max="10" width="11.453125" bestFit="1" customWidth="1"/>
    <col min="12" max="12" width="12.81640625" bestFit="1" customWidth="1"/>
    <col min="13" max="14" width="8.90625" bestFit="1" customWidth="1"/>
    <col min="15" max="15" width="9.90625" bestFit="1" customWidth="1"/>
    <col min="18" max="18" width="16.7265625" bestFit="1" customWidth="1"/>
    <col min="19" max="19" width="9.6328125" bestFit="1" customWidth="1"/>
    <col min="20" max="20" width="10.54296875" bestFit="1" customWidth="1"/>
    <col min="21" max="21" width="9.26953125" bestFit="1" customWidth="1"/>
  </cols>
  <sheetData>
    <row r="2" spans="1:21" x14ac:dyDescent="0.35">
      <c r="A2" t="s">
        <v>32</v>
      </c>
      <c r="B2" s="2" t="s">
        <v>115</v>
      </c>
      <c r="C2" s="12"/>
      <c r="D2" s="13"/>
    </row>
    <row r="3" spans="1:21" x14ac:dyDescent="0.35">
      <c r="C3" t="s">
        <v>117</v>
      </c>
      <c r="I3" s="2" t="s">
        <v>1</v>
      </c>
      <c r="L3" s="2" t="s">
        <v>9</v>
      </c>
      <c r="N3" s="17">
        <v>1</v>
      </c>
      <c r="O3" s="17">
        <v>2</v>
      </c>
      <c r="P3" s="17">
        <v>3</v>
      </c>
      <c r="R3" s="11" t="s">
        <v>49</v>
      </c>
      <c r="S3" s="11" t="s">
        <v>50</v>
      </c>
      <c r="T3" s="11" t="s">
        <v>51</v>
      </c>
    </row>
    <row r="4" spans="1:21" x14ac:dyDescent="0.35">
      <c r="B4" t="s">
        <v>0</v>
      </c>
      <c r="C4" s="22">
        <f>J8</f>
        <v>240000</v>
      </c>
      <c r="I4" t="s">
        <v>2</v>
      </c>
      <c r="J4" s="24">
        <f>J8/J5</f>
        <v>240000</v>
      </c>
      <c r="L4" t="s">
        <v>10</v>
      </c>
      <c r="M4" s="23">
        <v>15000</v>
      </c>
      <c r="N4" s="22">
        <f>M4-$M$7</f>
        <v>10000</v>
      </c>
      <c r="O4" s="22">
        <f t="shared" ref="O4:P4" si="0">N4-$M$7</f>
        <v>5000</v>
      </c>
      <c r="P4" s="22">
        <f t="shared" si="0"/>
        <v>0</v>
      </c>
      <c r="R4" t="s">
        <v>35</v>
      </c>
      <c r="S4" s="22">
        <f>J7-J10+J11</f>
        <v>250000</v>
      </c>
      <c r="T4" s="22"/>
      <c r="U4" s="24"/>
    </row>
    <row r="5" spans="1:21" x14ac:dyDescent="0.35">
      <c r="B5" t="s">
        <v>4</v>
      </c>
      <c r="C5" s="24">
        <f>J17</f>
        <v>68000</v>
      </c>
      <c r="I5" t="s">
        <v>65</v>
      </c>
      <c r="J5" s="30">
        <v>1</v>
      </c>
      <c r="L5" t="s">
        <v>11</v>
      </c>
      <c r="M5" s="29">
        <v>3</v>
      </c>
      <c r="N5" s="29">
        <v>15000</v>
      </c>
      <c r="O5" s="24"/>
      <c r="P5" s="24"/>
      <c r="R5" t="s">
        <v>91</v>
      </c>
      <c r="S5" s="24">
        <f>J10</f>
        <v>20000</v>
      </c>
      <c r="T5" s="24"/>
      <c r="U5" s="24"/>
    </row>
    <row r="6" spans="1:21" x14ac:dyDescent="0.35">
      <c r="B6" t="s">
        <v>5</v>
      </c>
      <c r="C6" s="4">
        <f>J25</f>
        <v>23400</v>
      </c>
      <c r="I6" t="s">
        <v>73</v>
      </c>
      <c r="J6" s="18">
        <v>30000</v>
      </c>
      <c r="L6" t="s">
        <v>12</v>
      </c>
      <c r="M6" s="29">
        <v>0</v>
      </c>
      <c r="N6" s="24"/>
      <c r="O6" s="24"/>
      <c r="P6" s="24"/>
      <c r="R6" t="s">
        <v>52</v>
      </c>
      <c r="S6" s="24"/>
      <c r="T6" s="24">
        <f>J8</f>
        <v>240000</v>
      </c>
      <c r="U6" s="24"/>
    </row>
    <row r="7" spans="1:21" x14ac:dyDescent="0.35">
      <c r="B7" t="s">
        <v>22</v>
      </c>
      <c r="C7" s="4">
        <f>C4-C5-C6</f>
        <v>148600</v>
      </c>
      <c r="I7" t="s">
        <v>74</v>
      </c>
      <c r="J7" s="18">
        <v>210000</v>
      </c>
      <c r="L7" t="s">
        <v>13</v>
      </c>
      <c r="M7" s="24">
        <f>(M4-M6)/M5</f>
        <v>5000</v>
      </c>
      <c r="N7" s="24"/>
      <c r="O7" s="24"/>
      <c r="P7" s="24"/>
      <c r="R7" t="s">
        <v>66</v>
      </c>
      <c r="S7" s="24"/>
      <c r="T7" s="24">
        <f>J11-J6</f>
        <v>30000</v>
      </c>
      <c r="U7" s="24"/>
    </row>
    <row r="8" spans="1:21" x14ac:dyDescent="0.35">
      <c r="B8" t="s">
        <v>23</v>
      </c>
      <c r="C8" s="4">
        <f>J29-J30</f>
        <v>2000</v>
      </c>
      <c r="I8" t="s">
        <v>0</v>
      </c>
      <c r="J8" s="22">
        <f>J7+J6</f>
        <v>240000</v>
      </c>
      <c r="M8" s="24"/>
      <c r="N8" s="24"/>
      <c r="O8" s="24"/>
      <c r="P8" s="24"/>
      <c r="R8" t="s">
        <v>37</v>
      </c>
      <c r="S8" s="24"/>
      <c r="T8" s="24">
        <f>J14</f>
        <v>48000</v>
      </c>
      <c r="U8" s="24"/>
    </row>
    <row r="9" spans="1:21" x14ac:dyDescent="0.35">
      <c r="B9" t="s">
        <v>24</v>
      </c>
      <c r="C9" s="15">
        <f>-N4</f>
        <v>-10000</v>
      </c>
      <c r="J9" s="4"/>
      <c r="L9" t="s">
        <v>14</v>
      </c>
      <c r="M9" s="29">
        <v>15000</v>
      </c>
      <c r="N9" s="24"/>
      <c r="O9" s="24"/>
      <c r="P9" s="24"/>
      <c r="R9" t="s">
        <v>35</v>
      </c>
      <c r="S9" s="24"/>
      <c r="T9" s="24">
        <f>J15</f>
        <v>15000</v>
      </c>
      <c r="U9" s="24"/>
    </row>
    <row r="10" spans="1:21" x14ac:dyDescent="0.35">
      <c r="B10" t="s">
        <v>25</v>
      </c>
      <c r="C10" s="4">
        <f>C7-C8+C9</f>
        <v>136600</v>
      </c>
      <c r="I10" t="s">
        <v>36</v>
      </c>
      <c r="J10" s="18">
        <v>20000</v>
      </c>
      <c r="L10" t="s">
        <v>11</v>
      </c>
      <c r="M10" s="29">
        <v>3</v>
      </c>
      <c r="N10" s="24"/>
      <c r="O10" s="24"/>
      <c r="P10" s="24"/>
      <c r="R10" t="s">
        <v>53</v>
      </c>
      <c r="S10" s="24"/>
      <c r="T10" s="24">
        <f>J16</f>
        <v>5000</v>
      </c>
      <c r="U10" s="24"/>
    </row>
    <row r="11" spans="1:21" x14ac:dyDescent="0.35">
      <c r="B11" t="s">
        <v>26</v>
      </c>
      <c r="C11" s="4">
        <f>C10*J27</f>
        <v>28686</v>
      </c>
      <c r="I11" t="s">
        <v>75</v>
      </c>
      <c r="J11" s="23">
        <v>60000</v>
      </c>
      <c r="L11" t="s">
        <v>12</v>
      </c>
      <c r="M11" s="29">
        <v>0</v>
      </c>
      <c r="N11" s="24"/>
      <c r="O11" s="24"/>
      <c r="P11" s="24"/>
      <c r="R11" t="s">
        <v>52</v>
      </c>
      <c r="S11" s="24">
        <f>C5</f>
        <v>68000</v>
      </c>
      <c r="T11" s="24"/>
      <c r="U11" s="24"/>
    </row>
    <row r="12" spans="1:21" x14ac:dyDescent="0.35">
      <c r="B12" t="s">
        <v>28</v>
      </c>
      <c r="C12" s="4">
        <f>C10-C11</f>
        <v>107914</v>
      </c>
      <c r="J12" s="4"/>
      <c r="L12" t="s">
        <v>13</v>
      </c>
      <c r="M12" s="24">
        <f>(M9-M11)/M10</f>
        <v>5000</v>
      </c>
      <c r="N12" s="24"/>
      <c r="O12" s="24"/>
      <c r="P12" s="24"/>
      <c r="R12" t="s">
        <v>35</v>
      </c>
      <c r="S12" s="24"/>
      <c r="T12" s="24">
        <f>J20+J23</f>
        <v>16000</v>
      </c>
      <c r="U12" s="24"/>
    </row>
    <row r="13" spans="1:21" x14ac:dyDescent="0.35">
      <c r="I13" s="2" t="s">
        <v>6</v>
      </c>
      <c r="J13" s="4"/>
      <c r="M13" s="24"/>
      <c r="N13" s="24"/>
      <c r="O13" s="24"/>
      <c r="P13" s="24"/>
      <c r="R13" t="s">
        <v>53</v>
      </c>
      <c r="S13" s="24"/>
      <c r="T13" s="24">
        <f>J21+J22</f>
        <v>5400</v>
      </c>
      <c r="U13" s="24"/>
    </row>
    <row r="14" spans="1:21" x14ac:dyDescent="0.35">
      <c r="B14" t="s">
        <v>29</v>
      </c>
      <c r="C14" s="25">
        <f>C12/J40</f>
        <v>12.695764705882352</v>
      </c>
      <c r="I14" t="s">
        <v>7</v>
      </c>
      <c r="J14" s="22">
        <f>J4*O26</f>
        <v>48000</v>
      </c>
      <c r="L14" t="s">
        <v>15</v>
      </c>
      <c r="M14" s="29">
        <v>2000</v>
      </c>
      <c r="N14" s="24"/>
      <c r="O14" s="24"/>
      <c r="P14" s="24"/>
      <c r="R14" t="s">
        <v>92</v>
      </c>
      <c r="S14" s="24"/>
      <c r="T14" s="24">
        <f>J24</f>
        <v>2000</v>
      </c>
      <c r="U14" s="24"/>
    </row>
    <row r="15" spans="1:21" x14ac:dyDescent="0.35">
      <c r="I15" t="s">
        <v>8</v>
      </c>
      <c r="J15" s="18">
        <v>15000</v>
      </c>
      <c r="L15" t="s">
        <v>11</v>
      </c>
      <c r="M15" s="29">
        <v>5</v>
      </c>
      <c r="N15" s="24"/>
      <c r="O15" s="24"/>
      <c r="P15" s="24"/>
      <c r="R15" t="s">
        <v>52</v>
      </c>
      <c r="S15" s="24">
        <f>J25</f>
        <v>23400</v>
      </c>
      <c r="T15" s="24"/>
      <c r="U15" s="24"/>
    </row>
    <row r="16" spans="1:21" x14ac:dyDescent="0.35">
      <c r="B16" t="s">
        <v>30</v>
      </c>
      <c r="C16" s="22">
        <f>C7+J38</f>
        <v>161000</v>
      </c>
      <c r="I16" s="5" t="s">
        <v>77</v>
      </c>
      <c r="J16" s="6">
        <f>M7</f>
        <v>5000</v>
      </c>
      <c r="L16" t="s">
        <v>12</v>
      </c>
      <c r="M16" s="29">
        <v>0</v>
      </c>
      <c r="N16" s="24"/>
      <c r="O16" s="24"/>
      <c r="P16" s="24"/>
      <c r="R16" t="s">
        <v>37</v>
      </c>
      <c r="S16" s="24">
        <f>SUM(M26:M27)</f>
        <v>70000</v>
      </c>
      <c r="T16" s="24"/>
      <c r="U16" s="24"/>
    </row>
    <row r="17" spans="1:21" x14ac:dyDescent="0.35">
      <c r="J17" s="22">
        <f>SUM(J14:J16)</f>
        <v>68000</v>
      </c>
      <c r="L17" t="s">
        <v>13</v>
      </c>
      <c r="M17" s="24">
        <f>(M14-M16)/M15</f>
        <v>400</v>
      </c>
      <c r="N17" s="24"/>
      <c r="O17" s="24"/>
      <c r="P17" s="24"/>
      <c r="R17" t="s">
        <v>35</v>
      </c>
      <c r="S17" s="24"/>
      <c r="T17" s="24">
        <f>M26</f>
        <v>60000</v>
      </c>
      <c r="U17" s="24"/>
    </row>
    <row r="18" spans="1:21" x14ac:dyDescent="0.35">
      <c r="A18" t="s">
        <v>32</v>
      </c>
      <c r="B18" s="2" t="s">
        <v>33</v>
      </c>
      <c r="C18" s="14"/>
      <c r="D18" s="1"/>
      <c r="J18" s="4"/>
      <c r="M18" s="24"/>
      <c r="N18" s="24"/>
      <c r="O18" s="24"/>
      <c r="P18" s="24"/>
      <c r="R18" t="s">
        <v>93</v>
      </c>
      <c r="S18" s="24"/>
      <c r="T18" s="24">
        <f>M27</f>
        <v>10000</v>
      </c>
      <c r="U18" s="24"/>
    </row>
    <row r="19" spans="1:21" x14ac:dyDescent="0.35">
      <c r="C19" s="19">
        <v>43830</v>
      </c>
      <c r="D19" s="19">
        <v>44196</v>
      </c>
      <c r="E19" s="8"/>
      <c r="I19" s="2" t="s">
        <v>18</v>
      </c>
      <c r="J19" s="4"/>
      <c r="L19" t="s">
        <v>82</v>
      </c>
      <c r="M19" s="29">
        <v>10000</v>
      </c>
      <c r="N19" s="24"/>
      <c r="O19" s="24"/>
      <c r="P19" s="24"/>
      <c r="R19" t="s">
        <v>94</v>
      </c>
      <c r="S19" s="24">
        <f>J32</f>
        <v>50000</v>
      </c>
      <c r="T19" s="24"/>
      <c r="U19" s="24"/>
    </row>
    <row r="20" spans="1:21" x14ac:dyDescent="0.35">
      <c r="B20" s="2" t="s">
        <v>9</v>
      </c>
      <c r="I20" t="s">
        <v>78</v>
      </c>
      <c r="J20" s="23">
        <v>15000</v>
      </c>
      <c r="L20" t="s">
        <v>11</v>
      </c>
      <c r="M20" s="29">
        <v>5</v>
      </c>
      <c r="N20" s="24"/>
      <c r="O20" s="24"/>
      <c r="P20" s="24"/>
      <c r="R20" t="s">
        <v>35</v>
      </c>
      <c r="S20" s="24"/>
      <c r="T20" s="24">
        <f>J32</f>
        <v>50000</v>
      </c>
      <c r="U20" s="24"/>
    </row>
    <row r="21" spans="1:21" x14ac:dyDescent="0.35">
      <c r="B21" t="s">
        <v>35</v>
      </c>
      <c r="C21" s="23">
        <v>233364</v>
      </c>
      <c r="D21" s="22">
        <f>C21+U32</f>
        <v>246678</v>
      </c>
      <c r="E21" s="22">
        <f>D21-C21</f>
        <v>13314</v>
      </c>
      <c r="I21" t="s">
        <v>79</v>
      </c>
      <c r="J21" s="4">
        <f>M12</f>
        <v>5000</v>
      </c>
      <c r="L21" t="s">
        <v>12</v>
      </c>
      <c r="M21" s="29">
        <v>0</v>
      </c>
      <c r="N21" s="24"/>
      <c r="O21" s="24"/>
      <c r="P21" s="24"/>
      <c r="R21" t="s">
        <v>35</v>
      </c>
      <c r="S21" s="24"/>
      <c r="T21" s="24">
        <f>J44</f>
        <v>40000</v>
      </c>
      <c r="U21" s="24"/>
    </row>
    <row r="22" spans="1:21" x14ac:dyDescent="0.35">
      <c r="B22" s="9" t="s">
        <v>36</v>
      </c>
      <c r="C22" s="18">
        <v>0</v>
      </c>
      <c r="D22" s="4">
        <f>C22+U40</f>
        <v>20000</v>
      </c>
      <c r="E22" s="4"/>
      <c r="I22" t="s">
        <v>80</v>
      </c>
      <c r="J22" s="4">
        <f>M17</f>
        <v>400</v>
      </c>
      <c r="L22" t="s">
        <v>13</v>
      </c>
      <c r="M22" s="22">
        <f>(M19-M21)/M20</f>
        <v>2000</v>
      </c>
      <c r="N22" s="24"/>
      <c r="O22" s="24"/>
      <c r="P22" s="24"/>
      <c r="R22" t="s">
        <v>52</v>
      </c>
      <c r="S22" s="24">
        <f>J44</f>
        <v>40000</v>
      </c>
      <c r="T22" s="24"/>
      <c r="U22" s="24"/>
    </row>
    <row r="23" spans="1:21" x14ac:dyDescent="0.35">
      <c r="B23" s="9" t="s">
        <v>37</v>
      </c>
      <c r="C23" s="18">
        <v>0</v>
      </c>
      <c r="D23" s="4">
        <f>C23+U33</f>
        <v>22000</v>
      </c>
      <c r="E23" s="4"/>
      <c r="I23" t="s">
        <v>81</v>
      </c>
      <c r="J23" s="18">
        <v>1000</v>
      </c>
      <c r="R23" t="s">
        <v>52</v>
      </c>
      <c r="S23" s="24">
        <f>C11-C9+C8</f>
        <v>40686</v>
      </c>
      <c r="T23" s="24"/>
      <c r="U23" s="24"/>
    </row>
    <row r="24" spans="1:21" x14ac:dyDescent="0.35">
      <c r="B24" s="9" t="s">
        <v>38</v>
      </c>
      <c r="C24" s="18">
        <v>21600</v>
      </c>
      <c r="D24" s="4">
        <f>C24+U34</f>
        <v>16200</v>
      </c>
      <c r="E24" s="4"/>
      <c r="I24" s="5" t="s">
        <v>83</v>
      </c>
      <c r="J24" s="6">
        <f>M22</f>
        <v>2000</v>
      </c>
      <c r="L24" s="2" t="s">
        <v>37</v>
      </c>
      <c r="R24" t="s">
        <v>35</v>
      </c>
      <c r="S24" s="24"/>
      <c r="T24" s="24">
        <f>C11+C8</f>
        <v>30686</v>
      </c>
      <c r="U24" s="24"/>
    </row>
    <row r="25" spans="1:21" x14ac:dyDescent="0.35">
      <c r="B25" s="9" t="s">
        <v>92</v>
      </c>
      <c r="D25" s="3">
        <f>C25+U37</f>
        <v>8000</v>
      </c>
      <c r="E25" s="3"/>
      <c r="J25" s="22">
        <f>SUM(J20:J24)</f>
        <v>23400</v>
      </c>
      <c r="L25" s="8" t="s">
        <v>67</v>
      </c>
      <c r="M25" t="s">
        <v>68</v>
      </c>
      <c r="N25" t="s">
        <v>2</v>
      </c>
      <c r="O25" t="s">
        <v>76</v>
      </c>
      <c r="P25" t="s">
        <v>69</v>
      </c>
      <c r="R25" t="s">
        <v>53</v>
      </c>
      <c r="S25" s="24"/>
      <c r="T25" s="24">
        <f>-C9</f>
        <v>10000</v>
      </c>
      <c r="U25" s="24"/>
    </row>
    <row r="26" spans="1:21" x14ac:dyDescent="0.35">
      <c r="B26" s="2" t="s">
        <v>39</v>
      </c>
      <c r="C26" s="29">
        <v>254964</v>
      </c>
      <c r="D26" s="24">
        <f>SUM(D21:D25)</f>
        <v>312878</v>
      </c>
      <c r="I26" t="s">
        <v>31</v>
      </c>
      <c r="J26" s="18">
        <v>9000</v>
      </c>
      <c r="L26" s="21">
        <v>43831</v>
      </c>
      <c r="M26" s="23">
        <v>60000</v>
      </c>
      <c r="N26" s="29">
        <v>300000</v>
      </c>
      <c r="O26" s="31">
        <f>M26/N26</f>
        <v>0.2</v>
      </c>
      <c r="P26" t="s">
        <v>70</v>
      </c>
      <c r="R26" t="s">
        <v>53</v>
      </c>
      <c r="S26" s="24">
        <f>N5</f>
        <v>15000</v>
      </c>
      <c r="T26" s="24"/>
      <c r="U26" s="24"/>
    </row>
    <row r="27" spans="1:21" x14ac:dyDescent="0.35">
      <c r="I27" t="s">
        <v>84</v>
      </c>
      <c r="J27" s="34">
        <v>0.21</v>
      </c>
      <c r="L27" s="21">
        <v>44180</v>
      </c>
      <c r="M27" s="23">
        <v>10000</v>
      </c>
      <c r="N27" s="29">
        <v>50000</v>
      </c>
      <c r="O27" s="31">
        <f>M27/N27</f>
        <v>0.2</v>
      </c>
      <c r="P27" t="s">
        <v>71</v>
      </c>
      <c r="R27" t="s">
        <v>35</v>
      </c>
      <c r="S27" s="24"/>
      <c r="T27" s="24">
        <f>N5</f>
        <v>15000</v>
      </c>
      <c r="U27" s="24"/>
    </row>
    <row r="28" spans="1:21" x14ac:dyDescent="0.35">
      <c r="B28" s="2" t="s">
        <v>40</v>
      </c>
      <c r="D28" s="4"/>
      <c r="E28" s="4"/>
      <c r="J28" s="4"/>
      <c r="R28" t="s">
        <v>92</v>
      </c>
      <c r="S28" s="24">
        <f>M19</f>
        <v>10000</v>
      </c>
      <c r="T28" s="24"/>
      <c r="U28" s="24"/>
    </row>
    <row r="29" spans="1:21" x14ac:dyDescent="0.35">
      <c r="B29" t="s">
        <v>41</v>
      </c>
      <c r="C29" s="18">
        <v>0</v>
      </c>
      <c r="D29" s="4">
        <f>C29-U41</f>
        <v>10000</v>
      </c>
      <c r="E29" s="4"/>
      <c r="I29" t="s">
        <v>85</v>
      </c>
      <c r="J29" s="23">
        <v>5000</v>
      </c>
      <c r="R29" t="s">
        <v>35</v>
      </c>
      <c r="S29" s="22"/>
      <c r="T29" s="22">
        <f>M19</f>
        <v>10000</v>
      </c>
      <c r="U29" s="24"/>
    </row>
    <row r="30" spans="1:21" x14ac:dyDescent="0.35">
      <c r="B30" s="9" t="s">
        <v>66</v>
      </c>
      <c r="C30" s="18">
        <v>0</v>
      </c>
      <c r="D30" s="4">
        <f>C30-U39</f>
        <v>30000</v>
      </c>
      <c r="E30" s="4"/>
      <c r="I30" t="s">
        <v>59</v>
      </c>
      <c r="J30" s="23">
        <v>3000</v>
      </c>
      <c r="S30" s="24"/>
      <c r="T30" s="24"/>
      <c r="U30" s="24"/>
    </row>
    <row r="31" spans="1:21" x14ac:dyDescent="0.35">
      <c r="B31" s="9" t="s">
        <v>42</v>
      </c>
      <c r="C31" s="18">
        <v>50000</v>
      </c>
      <c r="D31" s="4">
        <f>C31</f>
        <v>50000</v>
      </c>
      <c r="E31" s="4"/>
      <c r="J31" s="4"/>
      <c r="R31" s="11" t="s">
        <v>54</v>
      </c>
      <c r="S31" s="24"/>
      <c r="T31" s="24"/>
      <c r="U31" s="24"/>
    </row>
    <row r="32" spans="1:21" x14ac:dyDescent="0.35">
      <c r="B32" s="2" t="s">
        <v>43</v>
      </c>
      <c r="C32" s="18">
        <v>50000</v>
      </c>
      <c r="D32" s="4">
        <f>SUM(D29:D31)</f>
        <v>90000</v>
      </c>
      <c r="E32" s="4"/>
      <c r="I32" t="s">
        <v>86</v>
      </c>
      <c r="J32" s="23">
        <v>50000</v>
      </c>
      <c r="R32" t="s">
        <v>35</v>
      </c>
      <c r="S32" s="22">
        <f>SUMIF($R$4:$R$29,$R32,S$4:S$29)</f>
        <v>250000</v>
      </c>
      <c r="T32" s="22">
        <f>SUMIF($R$4:$R$29,$R32,T$4:T$29)</f>
        <v>236686</v>
      </c>
      <c r="U32" s="22">
        <f>S32-T32</f>
        <v>13314</v>
      </c>
    </row>
    <row r="33" spans="1:21" x14ac:dyDescent="0.35">
      <c r="C33" s="4"/>
      <c r="D33" s="4"/>
      <c r="E33" s="4"/>
      <c r="I33" t="s">
        <v>87</v>
      </c>
      <c r="J33" s="18">
        <v>1000</v>
      </c>
      <c r="R33" t="s">
        <v>37</v>
      </c>
      <c r="S33" s="24">
        <f t="shared" ref="S33:T41" si="1">SUMIF($R$4:$R$29,$R33,S$4:S$29)</f>
        <v>70000</v>
      </c>
      <c r="T33" s="24">
        <f t="shared" si="1"/>
        <v>48000</v>
      </c>
      <c r="U33" s="24">
        <f t="shared" ref="U33:U41" si="2">S33-T33</f>
        <v>22000</v>
      </c>
    </row>
    <row r="34" spans="1:21" x14ac:dyDescent="0.35">
      <c r="B34" s="2" t="s">
        <v>44</v>
      </c>
      <c r="C34" s="4"/>
      <c r="D34" s="4"/>
      <c r="E34" s="4"/>
      <c r="J34" s="4"/>
      <c r="R34" t="s">
        <v>53</v>
      </c>
      <c r="S34" s="24">
        <f t="shared" si="1"/>
        <v>15000</v>
      </c>
      <c r="T34" s="24">
        <f t="shared" si="1"/>
        <v>20400</v>
      </c>
      <c r="U34" s="24">
        <f t="shared" si="2"/>
        <v>-5400</v>
      </c>
    </row>
    <row r="35" spans="1:21" x14ac:dyDescent="0.35">
      <c r="B35" t="s">
        <v>45</v>
      </c>
      <c r="C35" s="18">
        <v>180000</v>
      </c>
      <c r="D35" s="4">
        <f>C35+U36</f>
        <v>180000</v>
      </c>
      <c r="E35" s="4"/>
      <c r="I35" t="s">
        <v>88</v>
      </c>
      <c r="J35" s="30">
        <v>5</v>
      </c>
      <c r="R35" t="s">
        <v>52</v>
      </c>
      <c r="S35" s="24">
        <f t="shared" si="1"/>
        <v>172086</v>
      </c>
      <c r="T35" s="24">
        <f t="shared" si="1"/>
        <v>240000</v>
      </c>
      <c r="U35" s="24">
        <f t="shared" si="2"/>
        <v>-67914</v>
      </c>
    </row>
    <row r="36" spans="1:21" x14ac:dyDescent="0.35">
      <c r="B36" s="9" t="s">
        <v>94</v>
      </c>
      <c r="D36" s="15">
        <f>C36-U38</f>
        <v>-50000</v>
      </c>
      <c r="I36" t="s">
        <v>118</v>
      </c>
      <c r="J36" s="4"/>
      <c r="R36" t="s">
        <v>45</v>
      </c>
      <c r="S36" s="24">
        <f t="shared" si="1"/>
        <v>0</v>
      </c>
      <c r="T36" s="24">
        <f t="shared" si="1"/>
        <v>0</v>
      </c>
      <c r="U36" s="24">
        <f t="shared" si="2"/>
        <v>0</v>
      </c>
    </row>
    <row r="37" spans="1:21" x14ac:dyDescent="0.35">
      <c r="B37" s="9" t="s">
        <v>46</v>
      </c>
      <c r="C37" s="18">
        <v>24964</v>
      </c>
      <c r="D37" s="4">
        <f>C37-U35</f>
        <v>92878</v>
      </c>
      <c r="E37" s="10"/>
      <c r="J37" s="4"/>
      <c r="R37" t="s">
        <v>92</v>
      </c>
      <c r="S37" s="24">
        <f t="shared" si="1"/>
        <v>10000</v>
      </c>
      <c r="T37" s="24">
        <f t="shared" si="1"/>
        <v>2000</v>
      </c>
      <c r="U37" s="24">
        <f t="shared" si="2"/>
        <v>8000</v>
      </c>
    </row>
    <row r="38" spans="1:21" x14ac:dyDescent="0.35">
      <c r="B38" s="2" t="s">
        <v>47</v>
      </c>
      <c r="C38" s="23">
        <v>204964</v>
      </c>
      <c r="D38" s="22">
        <f>SUM(D35:D37)</f>
        <v>222878</v>
      </c>
      <c r="I38" t="s">
        <v>89</v>
      </c>
      <c r="J38" s="22">
        <f>J16+J21+J22+J24</f>
        <v>12400</v>
      </c>
      <c r="R38" t="s">
        <v>94</v>
      </c>
      <c r="S38" s="24">
        <f t="shared" si="1"/>
        <v>50000</v>
      </c>
      <c r="T38" s="24">
        <f t="shared" si="1"/>
        <v>0</v>
      </c>
      <c r="U38" s="24">
        <f t="shared" si="2"/>
        <v>50000</v>
      </c>
    </row>
    <row r="39" spans="1:21" x14ac:dyDescent="0.35">
      <c r="J39" s="4"/>
      <c r="R39" t="s">
        <v>66</v>
      </c>
      <c r="S39" s="24">
        <f t="shared" si="1"/>
        <v>0</v>
      </c>
      <c r="T39" s="24">
        <f t="shared" si="1"/>
        <v>30000</v>
      </c>
      <c r="U39" s="24">
        <f t="shared" si="2"/>
        <v>-30000</v>
      </c>
    </row>
    <row r="40" spans="1:21" x14ac:dyDescent="0.35">
      <c r="B40" t="s">
        <v>48</v>
      </c>
      <c r="C40" s="10">
        <f>C26-C32-C38</f>
        <v>0</v>
      </c>
      <c r="D40" s="10">
        <f>D26-D32-D38</f>
        <v>0</v>
      </c>
      <c r="I40" t="s">
        <v>90</v>
      </c>
      <c r="J40" s="4">
        <f>0.5*J26+0.5*(J26-J33)</f>
        <v>8500</v>
      </c>
      <c r="R40" t="s">
        <v>91</v>
      </c>
      <c r="S40" s="24">
        <f t="shared" si="1"/>
        <v>20000</v>
      </c>
      <c r="T40" s="24">
        <f t="shared" si="1"/>
        <v>0</v>
      </c>
      <c r="U40" s="24">
        <f t="shared" si="2"/>
        <v>20000</v>
      </c>
    </row>
    <row r="41" spans="1:21" x14ac:dyDescent="0.35">
      <c r="J41" s="4"/>
      <c r="R41" t="s">
        <v>93</v>
      </c>
      <c r="S41" s="22">
        <f t="shared" si="1"/>
        <v>0</v>
      </c>
      <c r="T41" s="22">
        <f t="shared" si="1"/>
        <v>10000</v>
      </c>
      <c r="U41" s="22">
        <f t="shared" si="2"/>
        <v>-10000</v>
      </c>
    </row>
    <row r="42" spans="1:21" x14ac:dyDescent="0.35">
      <c r="A42" t="s">
        <v>32</v>
      </c>
      <c r="B42" s="2" t="s">
        <v>116</v>
      </c>
      <c r="I42" s="2" t="s">
        <v>95</v>
      </c>
      <c r="J42" s="4"/>
    </row>
    <row r="43" spans="1:21" x14ac:dyDescent="0.35">
      <c r="I43" t="s">
        <v>31</v>
      </c>
      <c r="J43" s="4">
        <f>J26-J33</f>
        <v>8000</v>
      </c>
    </row>
    <row r="44" spans="1:21" x14ac:dyDescent="0.35">
      <c r="B44" s="2" t="s">
        <v>97</v>
      </c>
      <c r="C44" s="22">
        <f>C21</f>
        <v>233364</v>
      </c>
      <c r="I44" t="s">
        <v>96</v>
      </c>
      <c r="J44" s="22">
        <f>J43*J35</f>
        <v>40000</v>
      </c>
    </row>
    <row r="45" spans="1:21" x14ac:dyDescent="0.35">
      <c r="B45" s="2" t="s">
        <v>98</v>
      </c>
    </row>
    <row r="46" spans="1:21" x14ac:dyDescent="0.35">
      <c r="B46" t="s">
        <v>28</v>
      </c>
      <c r="C46" s="15">
        <f>C12</f>
        <v>107914</v>
      </c>
    </row>
    <row r="47" spans="1:21" x14ac:dyDescent="0.35">
      <c r="B47" t="s">
        <v>99</v>
      </c>
      <c r="C47" s="15">
        <f>J38</f>
        <v>12400</v>
      </c>
    </row>
    <row r="48" spans="1:21" x14ac:dyDescent="0.35">
      <c r="B48" s="2" t="s">
        <v>100</v>
      </c>
      <c r="C48" s="15"/>
    </row>
    <row r="49" spans="2:3" x14ac:dyDescent="0.35">
      <c r="B49" t="s">
        <v>91</v>
      </c>
      <c r="C49" s="15">
        <f>-(D22-C22)</f>
        <v>-20000</v>
      </c>
    </row>
    <row r="50" spans="2:3" x14ac:dyDescent="0.35">
      <c r="B50" t="s">
        <v>37</v>
      </c>
      <c r="C50" s="15">
        <f>-(D23-C23)</f>
        <v>-22000</v>
      </c>
    </row>
    <row r="51" spans="2:3" x14ac:dyDescent="0.35">
      <c r="B51" t="s">
        <v>93</v>
      </c>
      <c r="C51" s="15">
        <f>D29-C29</f>
        <v>10000</v>
      </c>
    </row>
    <row r="52" spans="2:3" x14ac:dyDescent="0.35">
      <c r="B52" s="5" t="s">
        <v>66</v>
      </c>
      <c r="C52" s="16">
        <f>D30-C30</f>
        <v>30000</v>
      </c>
    </row>
    <row r="53" spans="2:3" x14ac:dyDescent="0.35">
      <c r="B53" s="2" t="s">
        <v>17</v>
      </c>
      <c r="C53" s="15">
        <f>SUM(C46:C52)</f>
        <v>118314</v>
      </c>
    </row>
    <row r="54" spans="2:3" x14ac:dyDescent="0.35">
      <c r="C54" s="15"/>
    </row>
    <row r="55" spans="2:3" x14ac:dyDescent="0.35">
      <c r="B55" s="2" t="s">
        <v>101</v>
      </c>
      <c r="C55" s="15"/>
    </row>
    <row r="56" spans="2:3" x14ac:dyDescent="0.35">
      <c r="B56" t="s">
        <v>102</v>
      </c>
      <c r="C56" s="15">
        <f>-N5</f>
        <v>-15000</v>
      </c>
    </row>
    <row r="57" spans="2:3" x14ac:dyDescent="0.35">
      <c r="B57" t="s">
        <v>103</v>
      </c>
      <c r="C57" s="20">
        <v>0</v>
      </c>
    </row>
    <row r="58" spans="2:3" x14ac:dyDescent="0.35">
      <c r="B58" t="s">
        <v>104</v>
      </c>
      <c r="C58" s="15">
        <f>-M19</f>
        <v>-10000</v>
      </c>
    </row>
    <row r="59" spans="2:3" x14ac:dyDescent="0.35">
      <c r="B59" s="5" t="s">
        <v>105</v>
      </c>
      <c r="C59" s="16">
        <f>-C9</f>
        <v>10000</v>
      </c>
    </row>
    <row r="60" spans="2:3" x14ac:dyDescent="0.35">
      <c r="B60" s="2" t="s">
        <v>17</v>
      </c>
      <c r="C60" s="15">
        <f>SUM(C56:C59)</f>
        <v>-15000</v>
      </c>
    </row>
    <row r="61" spans="2:3" x14ac:dyDescent="0.35">
      <c r="C61" s="15"/>
    </row>
    <row r="62" spans="2:3" x14ac:dyDescent="0.35">
      <c r="B62" s="2" t="s">
        <v>106</v>
      </c>
      <c r="C62" s="15"/>
    </row>
    <row r="63" spans="2:3" x14ac:dyDescent="0.35">
      <c r="B63" t="s">
        <v>107</v>
      </c>
      <c r="C63" s="20">
        <v>0</v>
      </c>
    </row>
    <row r="64" spans="2:3" x14ac:dyDescent="0.35">
      <c r="B64" t="s">
        <v>108</v>
      </c>
      <c r="C64" s="20">
        <v>0</v>
      </c>
    </row>
    <row r="65" spans="2:3" x14ac:dyDescent="0.35">
      <c r="B65" t="s">
        <v>109</v>
      </c>
      <c r="C65" s="20">
        <v>0</v>
      </c>
    </row>
    <row r="66" spans="2:3" x14ac:dyDescent="0.35">
      <c r="B66" t="s">
        <v>110</v>
      </c>
      <c r="C66" s="15">
        <f>-J32</f>
        <v>-50000</v>
      </c>
    </row>
    <row r="67" spans="2:3" x14ac:dyDescent="0.35">
      <c r="B67" s="5" t="s">
        <v>111</v>
      </c>
      <c r="C67" s="16">
        <f>-J44</f>
        <v>-40000</v>
      </c>
    </row>
    <row r="68" spans="2:3" x14ac:dyDescent="0.35">
      <c r="B68" s="2" t="s">
        <v>17</v>
      </c>
      <c r="C68" s="15">
        <f>SUM(C63:C67)</f>
        <v>-90000</v>
      </c>
    </row>
    <row r="69" spans="2:3" x14ac:dyDescent="0.35">
      <c r="C69" s="15"/>
    </row>
    <row r="70" spans="2:3" x14ac:dyDescent="0.35">
      <c r="B70" t="s">
        <v>112</v>
      </c>
      <c r="C70" s="15">
        <f>C53+C60+C68</f>
        <v>13314</v>
      </c>
    </row>
    <row r="71" spans="2:3" x14ac:dyDescent="0.35">
      <c r="B71" t="s">
        <v>113</v>
      </c>
      <c r="C71" s="22">
        <f>C44+C70</f>
        <v>246678</v>
      </c>
    </row>
    <row r="72" spans="2:3" x14ac:dyDescent="0.35">
      <c r="B72" t="s">
        <v>114</v>
      </c>
      <c r="C72" s="10">
        <f>C71-D21</f>
        <v>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Part_1</vt:lpstr>
      <vt:lpstr>Part_2</vt:lpstr>
      <vt:lpstr>Part_3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Moore</dc:creator>
  <cp:lastModifiedBy>David Moore</cp:lastModifiedBy>
  <dcterms:created xsi:type="dcterms:W3CDTF">2020-01-21T00:46:36Z</dcterms:created>
  <dcterms:modified xsi:type="dcterms:W3CDTF">2021-01-21T17:12:00Z</dcterms:modified>
</cp:coreProperties>
</file>