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Cap_budg\"/>
    </mc:Choice>
  </mc:AlternateContent>
  <xr:revisionPtr revIDLastSave="0" documentId="13_ncr:1_{D51B845C-6227-4087-B934-D2CFD0CEB279}" xr6:coauthVersionLast="46" xr6:coauthVersionMax="46" xr10:uidLastSave="{00000000-0000-0000-0000-000000000000}"/>
  <bookViews>
    <workbookView xWindow="-108" yWindow="-108" windowWidth="23256" windowHeight="14016" xr2:uid="{738A7CAE-9733-4FB8-859E-27EBE44BB30D}"/>
  </bookViews>
  <sheets>
    <sheet name="Mega_Example_CF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1" l="1"/>
  <c r="D79" i="1"/>
  <c r="C81" i="1"/>
  <c r="F76" i="1"/>
  <c r="G76" i="1" s="1"/>
  <c r="H76" i="1" s="1"/>
  <c r="I76" i="1" s="1"/>
  <c r="J76" i="1" s="1"/>
  <c r="K76" i="1" s="1"/>
  <c r="E76" i="1"/>
  <c r="D76" i="1"/>
  <c r="D73" i="1"/>
  <c r="E73" i="1"/>
  <c r="F73" i="1"/>
  <c r="G73" i="1"/>
  <c r="H73" i="1"/>
  <c r="I73" i="1"/>
  <c r="J73" i="1"/>
  <c r="C73" i="1"/>
  <c r="C71" i="1"/>
  <c r="C62" i="1"/>
  <c r="C61" i="1"/>
  <c r="C60" i="1"/>
  <c r="C56" i="1"/>
  <c r="C55" i="1"/>
  <c r="C54" i="1"/>
  <c r="C57" i="1" s="1"/>
  <c r="D53" i="1"/>
  <c r="E53" i="1" s="1"/>
  <c r="F53" i="1" s="1"/>
  <c r="G53" i="1" s="1"/>
  <c r="H53" i="1" s="1"/>
  <c r="I53" i="1" s="1"/>
  <c r="J53" i="1" s="1"/>
  <c r="K53" i="1" s="1"/>
  <c r="C48" i="1"/>
  <c r="C65" i="1" s="1"/>
  <c r="D47" i="1"/>
  <c r="E47" i="1" s="1"/>
  <c r="F47" i="1" s="1"/>
  <c r="G47" i="1" s="1"/>
  <c r="H47" i="1" s="1"/>
  <c r="I47" i="1" s="1"/>
  <c r="J47" i="1" s="1"/>
  <c r="K47" i="1" s="1"/>
  <c r="E38" i="1"/>
  <c r="E27" i="1" s="1"/>
  <c r="E55" i="1" s="1"/>
  <c r="F38" i="1"/>
  <c r="F27" i="1" s="1"/>
  <c r="F55" i="1" s="1"/>
  <c r="G38" i="1"/>
  <c r="G27" i="1" s="1"/>
  <c r="G55" i="1" s="1"/>
  <c r="H38" i="1"/>
  <c r="H27" i="1" s="1"/>
  <c r="H55" i="1" s="1"/>
  <c r="I38" i="1"/>
  <c r="I27" i="1" s="1"/>
  <c r="I55" i="1" s="1"/>
  <c r="J38" i="1"/>
  <c r="J27" i="1" s="1"/>
  <c r="J55" i="1" s="1"/>
  <c r="K38" i="1"/>
  <c r="K27" i="1" s="1"/>
  <c r="K55" i="1" s="1"/>
  <c r="D38" i="1"/>
  <c r="D27" i="1" s="1"/>
  <c r="D55" i="1" s="1"/>
  <c r="C37" i="1"/>
  <c r="C39" i="1" s="1"/>
  <c r="D37" i="1" s="1"/>
  <c r="D35" i="1"/>
  <c r="E35" i="1" s="1"/>
  <c r="F35" i="1" s="1"/>
  <c r="G35" i="1" s="1"/>
  <c r="H35" i="1" s="1"/>
  <c r="I35" i="1" s="1"/>
  <c r="J35" i="1" s="1"/>
  <c r="K35" i="1" s="1"/>
  <c r="E26" i="1"/>
  <c r="F26" i="1"/>
  <c r="G26" i="1"/>
  <c r="H26" i="1"/>
  <c r="I26" i="1"/>
  <c r="J26" i="1"/>
  <c r="K26" i="1"/>
  <c r="D26" i="1"/>
  <c r="E25" i="1"/>
  <c r="F25" i="1"/>
  <c r="G25" i="1"/>
  <c r="H25" i="1"/>
  <c r="I25" i="1"/>
  <c r="J25" i="1"/>
  <c r="K25" i="1"/>
  <c r="D25" i="1"/>
  <c r="D23" i="1"/>
  <c r="E23" i="1" s="1"/>
  <c r="F23" i="1" s="1"/>
  <c r="G23" i="1" s="1"/>
  <c r="H23" i="1" s="1"/>
  <c r="I23" i="1" s="1"/>
  <c r="J23" i="1" s="1"/>
  <c r="K23" i="1" s="1"/>
  <c r="D17" i="1"/>
  <c r="E17" i="1" s="1"/>
  <c r="F17" i="1" s="1"/>
  <c r="G17" i="1" s="1"/>
  <c r="H17" i="1" s="1"/>
  <c r="I17" i="1" s="1"/>
  <c r="J17" i="1" s="1"/>
  <c r="K17" i="1" s="1"/>
  <c r="K24" i="1" s="1"/>
  <c r="K48" i="1" s="1"/>
  <c r="C68" i="1" l="1"/>
  <c r="C75" i="1" s="1"/>
  <c r="K62" i="1"/>
  <c r="K28" i="1"/>
  <c r="I24" i="1"/>
  <c r="H24" i="1"/>
  <c r="J24" i="1"/>
  <c r="G24" i="1"/>
  <c r="F24" i="1"/>
  <c r="E24" i="1"/>
  <c r="D39" i="1"/>
  <c r="E37" i="1" s="1"/>
  <c r="E39" i="1" s="1"/>
  <c r="F37" i="1" s="1"/>
  <c r="D24" i="1"/>
  <c r="F62" i="1" l="1"/>
  <c r="J62" i="1"/>
  <c r="H62" i="1"/>
  <c r="D62" i="1"/>
  <c r="I62" i="1"/>
  <c r="I61" i="1"/>
  <c r="G62" i="1"/>
  <c r="E61" i="1"/>
  <c r="E62" i="1"/>
  <c r="F28" i="1"/>
  <c r="F54" i="1" s="1"/>
  <c r="F48" i="1"/>
  <c r="I28" i="1"/>
  <c r="I54" i="1" s="1"/>
  <c r="I48" i="1"/>
  <c r="E28" i="1"/>
  <c r="E54" i="1" s="1"/>
  <c r="E48" i="1"/>
  <c r="K29" i="1"/>
  <c r="K61" i="1" s="1"/>
  <c r="K54" i="1"/>
  <c r="H28" i="1"/>
  <c r="H48" i="1"/>
  <c r="G28" i="1"/>
  <c r="G48" i="1"/>
  <c r="G66" i="1" s="1"/>
  <c r="G68" i="1" s="1"/>
  <c r="J28" i="1"/>
  <c r="J48" i="1"/>
  <c r="D48" i="1"/>
  <c r="D66" i="1" s="1"/>
  <c r="D28" i="1"/>
  <c r="E29" i="1"/>
  <c r="I29" i="1"/>
  <c r="F39" i="1"/>
  <c r="G37" i="1" s="1"/>
  <c r="D68" i="1" l="1"/>
  <c r="E66" i="1"/>
  <c r="E68" i="1" s="1"/>
  <c r="J66" i="1"/>
  <c r="J68" i="1" s="1"/>
  <c r="K66" i="1"/>
  <c r="I66" i="1"/>
  <c r="I68" i="1" s="1"/>
  <c r="H66" i="1"/>
  <c r="H68" i="1" s="1"/>
  <c r="F66" i="1"/>
  <c r="F68" i="1" s="1"/>
  <c r="J29" i="1"/>
  <c r="J61" i="1" s="1"/>
  <c r="J54" i="1"/>
  <c r="F29" i="1"/>
  <c r="F61" i="1" s="1"/>
  <c r="H29" i="1"/>
  <c r="H61" i="1" s="1"/>
  <c r="H54" i="1"/>
  <c r="G29" i="1"/>
  <c r="G61" i="1" s="1"/>
  <c r="G54" i="1"/>
  <c r="K30" i="1"/>
  <c r="K60" i="1" s="1"/>
  <c r="K56" i="1"/>
  <c r="K57" i="1" s="1"/>
  <c r="D29" i="1"/>
  <c r="D61" i="1" s="1"/>
  <c r="D54" i="1"/>
  <c r="E30" i="1"/>
  <c r="E60" i="1" s="1"/>
  <c r="E56" i="1"/>
  <c r="E57" i="1"/>
  <c r="E75" i="1" s="1"/>
  <c r="I30" i="1"/>
  <c r="I60" i="1" s="1"/>
  <c r="I56" i="1"/>
  <c r="I57" i="1"/>
  <c r="G39" i="1"/>
  <c r="H37" i="1" s="1"/>
  <c r="K67" i="1" l="1"/>
  <c r="K68" i="1" s="1"/>
  <c r="I75" i="1"/>
  <c r="D30" i="1"/>
  <c r="D60" i="1" s="1"/>
  <c r="D56" i="1"/>
  <c r="D57" i="1" s="1"/>
  <c r="D75" i="1" s="1"/>
  <c r="F30" i="1"/>
  <c r="F60" i="1" s="1"/>
  <c r="F56" i="1"/>
  <c r="F57" i="1" s="1"/>
  <c r="F75" i="1" s="1"/>
  <c r="J30" i="1"/>
  <c r="J60" i="1" s="1"/>
  <c r="J56" i="1"/>
  <c r="J57" i="1" s="1"/>
  <c r="J75" i="1" s="1"/>
  <c r="G30" i="1"/>
  <c r="G60" i="1" s="1"/>
  <c r="G56" i="1"/>
  <c r="G57" i="1" s="1"/>
  <c r="G75" i="1" s="1"/>
  <c r="H30" i="1"/>
  <c r="H60" i="1" s="1"/>
  <c r="H56" i="1"/>
  <c r="H57" i="1" s="1"/>
  <c r="H75" i="1" s="1"/>
  <c r="H39" i="1"/>
  <c r="I37" i="1" s="1"/>
  <c r="I39" i="1" l="1"/>
  <c r="J37" i="1" s="1"/>
  <c r="J39" i="1" l="1"/>
  <c r="K37" i="1" s="1"/>
  <c r="K39" i="1" l="1"/>
  <c r="K41" i="1" s="1"/>
  <c r="K72" i="1" s="1"/>
  <c r="K73" i="1" s="1"/>
  <c r="K75" i="1" s="1"/>
  <c r="C79" i="1" l="1"/>
  <c r="C80" i="1"/>
</calcChain>
</file>

<file path=xl/sharedStrings.xml><?xml version="1.0" encoding="utf-8"?>
<sst xmlns="http://schemas.openxmlformats.org/spreadsheetml/2006/main" count="65" uniqueCount="49">
  <si>
    <t>Inputs</t>
  </si>
  <si>
    <t>Years 1-3 Unit Price</t>
  </si>
  <si>
    <t>Year 4+ Unit price</t>
  </si>
  <si>
    <t>NWC Investment Y0</t>
  </si>
  <si>
    <t>Yearly NWC</t>
  </si>
  <si>
    <t>Variable costs</t>
  </si>
  <si>
    <t>Variable costs per unit</t>
  </si>
  <si>
    <t>Fixed Costs</t>
  </si>
  <si>
    <t>Fixed Costs (yearly)</t>
  </si>
  <si>
    <t>CAPEX (Year 0)</t>
  </si>
  <si>
    <t>MACRS</t>
  </si>
  <si>
    <t>Salvage Value</t>
  </si>
  <si>
    <t>Tax Rate</t>
  </si>
  <si>
    <t xml:space="preserve">Required Return </t>
  </si>
  <si>
    <t>Projected Cash Flows</t>
  </si>
  <si>
    <t>x</t>
  </si>
  <si>
    <t>Unit Sales</t>
  </si>
  <si>
    <t>Years</t>
  </si>
  <si>
    <t>Revenue</t>
  </si>
  <si>
    <t>Depreciation</t>
  </si>
  <si>
    <t>EBIT</t>
  </si>
  <si>
    <t>Taxes</t>
  </si>
  <si>
    <t>Net Income</t>
  </si>
  <si>
    <t>Starting Book Value</t>
  </si>
  <si>
    <t>Ending Book Value</t>
  </si>
  <si>
    <t>Pro Forma Income Statement</t>
  </si>
  <si>
    <t>Net Working Capital Schedule</t>
  </si>
  <si>
    <t>NWC</t>
  </si>
  <si>
    <t>Salvage value</t>
  </si>
  <si>
    <t>OCF</t>
  </si>
  <si>
    <t>Bottom Up</t>
  </si>
  <si>
    <t>Top Down</t>
  </si>
  <si>
    <t>Tax Shield</t>
  </si>
  <si>
    <t>Alternative OCF Calculations</t>
  </si>
  <si>
    <t xml:space="preserve">Initial </t>
  </si>
  <si>
    <t>Change in NWC</t>
  </si>
  <si>
    <t>NWC Recovery</t>
  </si>
  <si>
    <t>Total Change in NWC</t>
  </si>
  <si>
    <t>CAPEX</t>
  </si>
  <si>
    <t>Initial Investment</t>
  </si>
  <si>
    <t>After-tax salvage</t>
  </si>
  <si>
    <t>Total CAPEX</t>
  </si>
  <si>
    <t>Free Cash flow</t>
  </si>
  <si>
    <t>NPV</t>
  </si>
  <si>
    <t>IRR</t>
  </si>
  <si>
    <t>Payback</t>
  </si>
  <si>
    <t>Pursue? (Y/N)</t>
  </si>
  <si>
    <t>Cumulative CF</t>
  </si>
  <si>
    <t>Unit Sales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</si>
</sst>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_(0.0%_);\(0.0%\)"/>
    <numFmt numFmtId="165" formatCode="0\ &quot;years&quot;"/>
    <numFmt numFmtId="168" formatCode="0.00\ &quot;years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Border="1"/>
    <xf numFmtId="0" fontId="0" fillId="0" borderId="3" xfId="0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0" fontId="0" fillId="0" borderId="5" xfId="0" applyBorder="1"/>
    <xf numFmtId="164" fontId="2" fillId="0" borderId="6" xfId="0" applyNumberFormat="1" applyFont="1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/>
    <xf numFmtId="0" fontId="0" fillId="0" borderId="0" xfId="0" applyNumberFormat="1"/>
    <xf numFmtId="0" fontId="0" fillId="0" borderId="7" xfId="0" applyBorder="1"/>
    <xf numFmtId="0" fontId="0" fillId="0" borderId="0" xfId="0" applyFill="1" applyBorder="1"/>
    <xf numFmtId="0" fontId="0" fillId="0" borderId="7" xfId="0" applyFill="1" applyBorder="1"/>
    <xf numFmtId="37" fontId="0" fillId="0" borderId="0" xfId="0" applyNumberFormat="1"/>
    <xf numFmtId="42" fontId="2" fillId="0" borderId="2" xfId="0" applyNumberFormat="1" applyFont="1" applyBorder="1"/>
    <xf numFmtId="42" fontId="2" fillId="0" borderId="4" xfId="0" applyNumberFormat="1" applyFont="1" applyBorder="1"/>
    <xf numFmtId="42" fontId="0" fillId="0" borderId="0" xfId="0" applyNumberFormat="1"/>
    <xf numFmtId="37" fontId="0" fillId="0" borderId="7" xfId="0" applyNumberFormat="1" applyBorder="1"/>
    <xf numFmtId="164" fontId="2" fillId="0" borderId="0" xfId="0" applyNumberFormat="1" applyFont="1" applyBorder="1"/>
    <xf numFmtId="0" fontId="1" fillId="0" borderId="0" xfId="0" applyFont="1" applyFill="1" applyBorder="1"/>
    <xf numFmtId="42" fontId="0" fillId="0" borderId="7" xfId="0" applyNumberFormat="1" applyBorder="1"/>
    <xf numFmtId="10" fontId="0" fillId="0" borderId="0" xfId="0" applyNumberFormat="1"/>
    <xf numFmtId="168" fontId="0" fillId="0" borderId="0" xfId="0" applyNumberFormat="1"/>
    <xf numFmtId="37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9F72-95EB-42C7-A1C8-9B66E8EED0BE}">
  <dimension ref="A2:K81"/>
  <sheetViews>
    <sheetView tabSelected="1" workbookViewId="0">
      <selection activeCell="D19" sqref="D19"/>
    </sheetView>
  </sheetViews>
  <sheetFormatPr defaultRowHeight="14.4" outlineLevelRow="1" x14ac:dyDescent="0.3"/>
  <cols>
    <col min="1" max="1" width="3.33203125" customWidth="1"/>
    <col min="2" max="2" width="19.21875" bestFit="1" customWidth="1"/>
    <col min="3" max="3" width="11.109375" bestFit="1" customWidth="1"/>
    <col min="4" max="5" width="10.109375" bestFit="1" customWidth="1"/>
    <col min="6" max="7" width="11.109375" bestFit="1" customWidth="1"/>
    <col min="8" max="11" width="10.109375" bestFit="1" customWidth="1"/>
  </cols>
  <sheetData>
    <row r="2" spans="1:11" x14ac:dyDescent="0.3">
      <c r="B2" s="9" t="s">
        <v>0</v>
      </c>
      <c r="C2" s="10"/>
    </row>
    <row r="3" spans="1:11" x14ac:dyDescent="0.3">
      <c r="B3" s="3" t="s">
        <v>1</v>
      </c>
      <c r="C3" s="19">
        <v>120</v>
      </c>
    </row>
    <row r="4" spans="1:11" x14ac:dyDescent="0.3">
      <c r="B4" s="4" t="s">
        <v>2</v>
      </c>
      <c r="C4" s="20">
        <v>110</v>
      </c>
    </row>
    <row r="5" spans="1:11" x14ac:dyDescent="0.3">
      <c r="B5" s="4" t="s">
        <v>3</v>
      </c>
      <c r="C5" s="20">
        <v>20000</v>
      </c>
    </row>
    <row r="6" spans="1:11" x14ac:dyDescent="0.3">
      <c r="B6" s="4" t="s">
        <v>4</v>
      </c>
      <c r="C6" s="5">
        <v>0.15</v>
      </c>
    </row>
    <row r="7" spans="1:11" x14ac:dyDescent="0.3">
      <c r="B7" s="4" t="s">
        <v>6</v>
      </c>
      <c r="C7" s="20">
        <v>60</v>
      </c>
    </row>
    <row r="8" spans="1:11" x14ac:dyDescent="0.3">
      <c r="B8" s="4" t="s">
        <v>8</v>
      </c>
      <c r="C8" s="20">
        <v>25000</v>
      </c>
    </row>
    <row r="9" spans="1:11" x14ac:dyDescent="0.3">
      <c r="B9" s="4" t="s">
        <v>9</v>
      </c>
      <c r="C9" s="20">
        <v>800000</v>
      </c>
    </row>
    <row r="10" spans="1:11" x14ac:dyDescent="0.3">
      <c r="B10" s="4" t="s">
        <v>10</v>
      </c>
      <c r="C10" s="6">
        <v>7</v>
      </c>
    </row>
    <row r="11" spans="1:11" x14ac:dyDescent="0.3">
      <c r="B11" s="4" t="s">
        <v>11</v>
      </c>
      <c r="C11" s="5">
        <v>0.2</v>
      </c>
    </row>
    <row r="12" spans="1:11" x14ac:dyDescent="0.3">
      <c r="B12" s="4" t="s">
        <v>12</v>
      </c>
      <c r="C12" s="5">
        <v>0.34</v>
      </c>
    </row>
    <row r="13" spans="1:11" x14ac:dyDescent="0.3">
      <c r="B13" s="7" t="s">
        <v>13</v>
      </c>
      <c r="C13" s="8">
        <v>0.15</v>
      </c>
    </row>
    <row r="14" spans="1:11" x14ac:dyDescent="0.3">
      <c r="B14" s="2"/>
    </row>
    <row r="15" spans="1:11" s="11" customFormat="1" x14ac:dyDescent="0.3">
      <c r="A15" s="11" t="s">
        <v>15</v>
      </c>
      <c r="B15" s="12" t="s">
        <v>48</v>
      </c>
    </row>
    <row r="16" spans="1:11" x14ac:dyDescent="0.3">
      <c r="C16" s="10" t="s">
        <v>17</v>
      </c>
      <c r="D16" s="10"/>
      <c r="E16" s="10"/>
      <c r="F16" s="10"/>
      <c r="G16" s="10"/>
      <c r="H16" s="10"/>
      <c r="I16" s="10"/>
      <c r="J16" s="10"/>
      <c r="K16" s="10"/>
    </row>
    <row r="17" spans="1:11" x14ac:dyDescent="0.3">
      <c r="C17" s="13">
        <v>0</v>
      </c>
      <c r="D17" s="14">
        <f>C17+1</f>
        <v>1</v>
      </c>
      <c r="E17" s="14">
        <f t="shared" ref="E17:K17" si="0">D17+1</f>
        <v>2</v>
      </c>
      <c r="F17" s="14">
        <f t="shared" si="0"/>
        <v>3</v>
      </c>
      <c r="G17" s="14">
        <f t="shared" si="0"/>
        <v>4</v>
      </c>
      <c r="H17" s="14">
        <f t="shared" si="0"/>
        <v>5</v>
      </c>
      <c r="I17" s="14">
        <f t="shared" si="0"/>
        <v>6</v>
      </c>
      <c r="J17" s="14">
        <f t="shared" si="0"/>
        <v>7</v>
      </c>
      <c r="K17" s="14">
        <f t="shared" si="0"/>
        <v>8</v>
      </c>
    </row>
    <row r="18" spans="1:11" x14ac:dyDescent="0.3">
      <c r="B18" t="s">
        <v>16</v>
      </c>
      <c r="D18" s="28">
        <v>3000</v>
      </c>
      <c r="E18" s="28">
        <v>5000</v>
      </c>
      <c r="F18" s="28">
        <v>6000</v>
      </c>
      <c r="G18" s="28">
        <v>6500</v>
      </c>
      <c r="H18" s="28">
        <v>6000</v>
      </c>
      <c r="I18" s="28">
        <v>5000</v>
      </c>
      <c r="J18" s="28">
        <v>4000</v>
      </c>
      <c r="K18" s="28">
        <v>3000</v>
      </c>
    </row>
    <row r="20" spans="1:11" s="11" customFormat="1" x14ac:dyDescent="0.3">
      <c r="A20" s="11" t="s">
        <v>15</v>
      </c>
      <c r="B20" s="12" t="s">
        <v>25</v>
      </c>
    </row>
    <row r="22" spans="1:11" x14ac:dyDescent="0.3">
      <c r="C22" s="10" t="s">
        <v>17</v>
      </c>
      <c r="D22" s="10"/>
      <c r="E22" s="10"/>
      <c r="F22" s="10"/>
      <c r="G22" s="10"/>
      <c r="H22" s="10"/>
      <c r="I22" s="10"/>
      <c r="J22" s="10"/>
      <c r="K22" s="10"/>
    </row>
    <row r="23" spans="1:11" x14ac:dyDescent="0.3">
      <c r="C23" s="13">
        <v>0</v>
      </c>
      <c r="D23" s="14">
        <f>C23+1</f>
        <v>1</v>
      </c>
      <c r="E23" s="14">
        <f t="shared" ref="E23:K23" si="1">D23+1</f>
        <v>2</v>
      </c>
      <c r="F23" s="14">
        <f t="shared" si="1"/>
        <v>3</v>
      </c>
      <c r="G23" s="14">
        <f t="shared" si="1"/>
        <v>4</v>
      </c>
      <c r="H23" s="14">
        <f t="shared" si="1"/>
        <v>5</v>
      </c>
      <c r="I23" s="14">
        <f t="shared" si="1"/>
        <v>6</v>
      </c>
      <c r="J23" s="14">
        <f t="shared" si="1"/>
        <v>7</v>
      </c>
      <c r="K23" s="14">
        <f t="shared" si="1"/>
        <v>8</v>
      </c>
    </row>
    <row r="24" spans="1:11" x14ac:dyDescent="0.3">
      <c r="B24" t="s">
        <v>18</v>
      </c>
      <c r="D24" s="21">
        <f>IF(D17&lt;=3,D18*$C$3,D18*$C$4)</f>
        <v>360000</v>
      </c>
      <c r="E24" s="21">
        <f t="shared" ref="E24:K24" si="2">IF(E17&lt;=3,E18*$C$3,E18*$C$4)</f>
        <v>600000</v>
      </c>
      <c r="F24" s="21">
        <f t="shared" si="2"/>
        <v>720000</v>
      </c>
      <c r="G24" s="21">
        <f t="shared" si="2"/>
        <v>715000</v>
      </c>
      <c r="H24" s="21">
        <f t="shared" si="2"/>
        <v>660000</v>
      </c>
      <c r="I24" s="21">
        <f t="shared" si="2"/>
        <v>550000</v>
      </c>
      <c r="J24" s="21">
        <f t="shared" si="2"/>
        <v>440000</v>
      </c>
      <c r="K24" s="21">
        <f t="shared" si="2"/>
        <v>330000</v>
      </c>
    </row>
    <row r="25" spans="1:11" x14ac:dyDescent="0.3">
      <c r="B25" t="s">
        <v>5</v>
      </c>
      <c r="D25" s="18">
        <f>D18*$C$7</f>
        <v>180000</v>
      </c>
      <c r="E25" s="18">
        <f t="shared" ref="E25:K25" si="3">E18*$C$7</f>
        <v>300000</v>
      </c>
      <c r="F25" s="18">
        <f t="shared" si="3"/>
        <v>360000</v>
      </c>
      <c r="G25" s="18">
        <f t="shared" si="3"/>
        <v>390000</v>
      </c>
      <c r="H25" s="18">
        <f t="shared" si="3"/>
        <v>360000</v>
      </c>
      <c r="I25" s="18">
        <f t="shared" si="3"/>
        <v>300000</v>
      </c>
      <c r="J25" s="18">
        <f t="shared" si="3"/>
        <v>240000</v>
      </c>
      <c r="K25" s="18">
        <f t="shared" si="3"/>
        <v>180000</v>
      </c>
    </row>
    <row r="26" spans="1:11" x14ac:dyDescent="0.3">
      <c r="B26" t="s">
        <v>7</v>
      </c>
      <c r="D26" s="18">
        <f>$C$8</f>
        <v>25000</v>
      </c>
      <c r="E26" s="18">
        <f t="shared" ref="E26:K26" si="4">$C$8</f>
        <v>25000</v>
      </c>
      <c r="F26" s="18">
        <f t="shared" si="4"/>
        <v>25000</v>
      </c>
      <c r="G26" s="18">
        <f t="shared" si="4"/>
        <v>25000</v>
      </c>
      <c r="H26" s="18">
        <f t="shared" si="4"/>
        <v>25000</v>
      </c>
      <c r="I26" s="18">
        <f t="shared" si="4"/>
        <v>25000</v>
      </c>
      <c r="J26" s="18">
        <f t="shared" si="4"/>
        <v>25000</v>
      </c>
      <c r="K26" s="18">
        <f t="shared" si="4"/>
        <v>25000</v>
      </c>
    </row>
    <row r="27" spans="1:11" x14ac:dyDescent="0.3">
      <c r="B27" s="15" t="s">
        <v>19</v>
      </c>
      <c r="C27" s="15"/>
      <c r="D27" s="22">
        <f>D38</f>
        <v>114320</v>
      </c>
      <c r="E27" s="22">
        <f t="shared" ref="E27:K27" si="5">E38</f>
        <v>195920</v>
      </c>
      <c r="F27" s="22">
        <f t="shared" si="5"/>
        <v>139920</v>
      </c>
      <c r="G27" s="22">
        <f t="shared" si="5"/>
        <v>99920</v>
      </c>
      <c r="H27" s="22">
        <f t="shared" si="5"/>
        <v>71440</v>
      </c>
      <c r="I27" s="22">
        <f t="shared" si="5"/>
        <v>71360</v>
      </c>
      <c r="J27" s="22">
        <f t="shared" si="5"/>
        <v>71440</v>
      </c>
      <c r="K27" s="22">
        <f t="shared" si="5"/>
        <v>35680</v>
      </c>
    </row>
    <row r="28" spans="1:11" x14ac:dyDescent="0.3">
      <c r="B28" s="16" t="s">
        <v>20</v>
      </c>
      <c r="D28" s="18">
        <f>D24-SUM(D25:D27)</f>
        <v>40680</v>
      </c>
      <c r="E28" s="18">
        <f t="shared" ref="E28:K28" si="6">E24-SUM(E25:E27)</f>
        <v>79080</v>
      </c>
      <c r="F28" s="18">
        <f t="shared" si="6"/>
        <v>195080</v>
      </c>
      <c r="G28" s="18">
        <f t="shared" si="6"/>
        <v>200080</v>
      </c>
      <c r="H28" s="18">
        <f t="shared" si="6"/>
        <v>203560</v>
      </c>
      <c r="I28" s="18">
        <f t="shared" si="6"/>
        <v>153640</v>
      </c>
      <c r="J28" s="18">
        <f t="shared" si="6"/>
        <v>103560</v>
      </c>
      <c r="K28" s="18">
        <f t="shared" si="6"/>
        <v>89320</v>
      </c>
    </row>
    <row r="29" spans="1:11" x14ac:dyDescent="0.3">
      <c r="B29" s="17" t="s">
        <v>21</v>
      </c>
      <c r="C29" s="15"/>
      <c r="D29" s="22">
        <f>D28*$C$12</f>
        <v>13831.2</v>
      </c>
      <c r="E29" s="22">
        <f t="shared" ref="E29:K29" si="7">E28*$C$12</f>
        <v>26887.200000000001</v>
      </c>
      <c r="F29" s="22">
        <f t="shared" si="7"/>
        <v>66327.200000000012</v>
      </c>
      <c r="G29" s="22">
        <f t="shared" si="7"/>
        <v>68027.200000000012</v>
      </c>
      <c r="H29" s="22">
        <f t="shared" si="7"/>
        <v>69210.400000000009</v>
      </c>
      <c r="I29" s="22">
        <f t="shared" si="7"/>
        <v>52237.600000000006</v>
      </c>
      <c r="J29" s="22">
        <f t="shared" si="7"/>
        <v>35210.400000000001</v>
      </c>
      <c r="K29" s="22">
        <f t="shared" si="7"/>
        <v>30368.800000000003</v>
      </c>
    </row>
    <row r="30" spans="1:11" x14ac:dyDescent="0.3">
      <c r="B30" s="16" t="s">
        <v>22</v>
      </c>
      <c r="D30" s="21">
        <f>D28-D29</f>
        <v>26848.799999999999</v>
      </c>
      <c r="E30" s="21">
        <f t="shared" ref="E30:K30" si="8">E28-E29</f>
        <v>52192.800000000003</v>
      </c>
      <c r="F30" s="21">
        <f t="shared" si="8"/>
        <v>128752.79999999999</v>
      </c>
      <c r="G30" s="21">
        <f t="shared" si="8"/>
        <v>132052.79999999999</v>
      </c>
      <c r="H30" s="21">
        <f t="shared" si="8"/>
        <v>134349.59999999998</v>
      </c>
      <c r="I30" s="21">
        <f t="shared" si="8"/>
        <v>101402.4</v>
      </c>
      <c r="J30" s="21">
        <f t="shared" si="8"/>
        <v>68349.600000000006</v>
      </c>
      <c r="K30" s="21">
        <f t="shared" si="8"/>
        <v>58951.199999999997</v>
      </c>
    </row>
    <row r="32" spans="1:11" s="11" customFormat="1" x14ac:dyDescent="0.3">
      <c r="A32" s="11" t="s">
        <v>15</v>
      </c>
      <c r="B32" s="12" t="s">
        <v>19</v>
      </c>
    </row>
    <row r="34" spans="1:11" x14ac:dyDescent="0.3">
      <c r="C34" s="10" t="s">
        <v>17</v>
      </c>
      <c r="D34" s="10"/>
      <c r="E34" s="10"/>
      <c r="F34" s="10"/>
      <c r="G34" s="10"/>
      <c r="H34" s="10"/>
      <c r="I34" s="10"/>
      <c r="J34" s="10"/>
      <c r="K34" s="10"/>
    </row>
    <row r="35" spans="1:11" x14ac:dyDescent="0.3">
      <c r="C35" s="13">
        <v>0</v>
      </c>
      <c r="D35" s="14">
        <f>C35+1</f>
        <v>1</v>
      </c>
      <c r="E35" s="14">
        <f t="shared" ref="E35:K35" si="9">D35+1</f>
        <v>2</v>
      </c>
      <c r="F35" s="14">
        <f t="shared" si="9"/>
        <v>3</v>
      </c>
      <c r="G35" s="14">
        <f t="shared" si="9"/>
        <v>4</v>
      </c>
      <c r="H35" s="14">
        <f t="shared" si="9"/>
        <v>5</v>
      </c>
      <c r="I35" s="14">
        <f t="shared" si="9"/>
        <v>6</v>
      </c>
      <c r="J35" s="14">
        <f t="shared" si="9"/>
        <v>7</v>
      </c>
      <c r="K35" s="14">
        <f t="shared" si="9"/>
        <v>8</v>
      </c>
    </row>
    <row r="36" spans="1:11" x14ac:dyDescent="0.3">
      <c r="B36" t="s">
        <v>10</v>
      </c>
      <c r="D36" s="23">
        <v>0.1429</v>
      </c>
      <c r="E36" s="23">
        <v>0.24490000000000001</v>
      </c>
      <c r="F36" s="23">
        <v>0.1749</v>
      </c>
      <c r="G36" s="23">
        <v>0.1249</v>
      </c>
      <c r="H36" s="23">
        <v>8.9300000000000004E-2</v>
      </c>
      <c r="I36" s="23">
        <v>8.9200000000000002E-2</v>
      </c>
      <c r="J36" s="23">
        <v>8.9300000000000004E-2</v>
      </c>
      <c r="K36" s="23">
        <v>4.4600000000000001E-2</v>
      </c>
    </row>
    <row r="37" spans="1:11" x14ac:dyDescent="0.3">
      <c r="B37" t="s">
        <v>23</v>
      </c>
      <c r="C37" s="21">
        <f>C9</f>
        <v>800000</v>
      </c>
      <c r="D37" s="21">
        <f>C39</f>
        <v>800000</v>
      </c>
      <c r="E37" s="21">
        <f t="shared" ref="E37:K37" si="10">D39</f>
        <v>685680</v>
      </c>
      <c r="F37" s="21">
        <f t="shared" si="10"/>
        <v>489760</v>
      </c>
      <c r="G37" s="21">
        <f t="shared" si="10"/>
        <v>349840</v>
      </c>
      <c r="H37" s="21">
        <f t="shared" si="10"/>
        <v>249920</v>
      </c>
      <c r="I37" s="21">
        <f t="shared" si="10"/>
        <v>178480</v>
      </c>
      <c r="J37" s="21">
        <f t="shared" si="10"/>
        <v>107120</v>
      </c>
      <c r="K37" s="21">
        <f t="shared" si="10"/>
        <v>35680</v>
      </c>
    </row>
    <row r="38" spans="1:11" x14ac:dyDescent="0.3">
      <c r="B38" t="s">
        <v>19</v>
      </c>
      <c r="D38" s="18">
        <f>$C$9*D36</f>
        <v>114320</v>
      </c>
      <c r="E38" s="18">
        <f t="shared" ref="E38:K38" si="11">$C$9*E36</f>
        <v>195920</v>
      </c>
      <c r="F38" s="18">
        <f t="shared" si="11"/>
        <v>139920</v>
      </c>
      <c r="G38" s="18">
        <f t="shared" si="11"/>
        <v>99920</v>
      </c>
      <c r="H38" s="18">
        <f t="shared" si="11"/>
        <v>71440</v>
      </c>
      <c r="I38" s="18">
        <f t="shared" si="11"/>
        <v>71360</v>
      </c>
      <c r="J38" s="18">
        <f t="shared" si="11"/>
        <v>71440</v>
      </c>
      <c r="K38" s="18">
        <f t="shared" si="11"/>
        <v>35680</v>
      </c>
    </row>
    <row r="39" spans="1:11" x14ac:dyDescent="0.3">
      <c r="B39" t="s">
        <v>24</v>
      </c>
      <c r="C39" s="21">
        <f>C37-C38</f>
        <v>800000</v>
      </c>
      <c r="D39" s="21">
        <f>D37-D38</f>
        <v>685680</v>
      </c>
      <c r="E39" s="21">
        <f t="shared" ref="E39:K39" si="12">E37-E38</f>
        <v>489760</v>
      </c>
      <c r="F39" s="21">
        <f t="shared" si="12"/>
        <v>349840</v>
      </c>
      <c r="G39" s="21">
        <f t="shared" si="12"/>
        <v>249920</v>
      </c>
      <c r="H39" s="21">
        <f t="shared" si="12"/>
        <v>178480</v>
      </c>
      <c r="I39" s="21">
        <f t="shared" si="12"/>
        <v>107120</v>
      </c>
      <c r="J39" s="21">
        <f t="shared" si="12"/>
        <v>35680</v>
      </c>
      <c r="K39" s="21">
        <f t="shared" si="12"/>
        <v>0</v>
      </c>
    </row>
    <row r="40" spans="1:11" x14ac:dyDescent="0.3">
      <c r="C40" s="21"/>
      <c r="D40" s="21"/>
      <c r="E40" s="21"/>
      <c r="F40" s="21"/>
      <c r="G40" s="21"/>
      <c r="H40" s="21"/>
      <c r="I40" s="21"/>
      <c r="J40" s="21"/>
      <c r="K40" s="21"/>
    </row>
    <row r="41" spans="1:11" x14ac:dyDescent="0.3">
      <c r="B41" t="s">
        <v>28</v>
      </c>
      <c r="C41" s="21"/>
      <c r="D41" s="21"/>
      <c r="E41" s="21"/>
      <c r="F41" s="21"/>
      <c r="G41" s="21"/>
      <c r="H41" s="21"/>
      <c r="I41" s="21"/>
      <c r="J41" s="21"/>
      <c r="K41" s="21">
        <f>((C9*C11)-K39)*(1-C12)</f>
        <v>105599.99999999999</v>
      </c>
    </row>
    <row r="42" spans="1:11" x14ac:dyDescent="0.3">
      <c r="C42" s="21"/>
      <c r="D42" s="21"/>
      <c r="E42" s="21"/>
      <c r="F42" s="21"/>
      <c r="G42" s="21"/>
      <c r="H42" s="21"/>
      <c r="I42" s="21"/>
      <c r="J42" s="21"/>
      <c r="K42" s="21"/>
    </row>
    <row r="44" spans="1:11" s="11" customFormat="1" x14ac:dyDescent="0.3">
      <c r="A44" s="11" t="s">
        <v>15</v>
      </c>
      <c r="B44" s="12" t="s">
        <v>26</v>
      </c>
    </row>
    <row r="46" spans="1:11" x14ac:dyDescent="0.3">
      <c r="C46" s="10" t="s">
        <v>17</v>
      </c>
      <c r="D46" s="10"/>
      <c r="E46" s="10"/>
      <c r="F46" s="10"/>
      <c r="G46" s="10"/>
      <c r="H46" s="10"/>
      <c r="I46" s="10"/>
      <c r="J46" s="10"/>
      <c r="K46" s="10"/>
    </row>
    <row r="47" spans="1:11" x14ac:dyDescent="0.3">
      <c r="C47" s="13">
        <v>0</v>
      </c>
      <c r="D47" s="14">
        <f>C47+1</f>
        <v>1</v>
      </c>
      <c r="E47" s="14">
        <f t="shared" ref="E47:K47" si="13">D47+1</f>
        <v>2</v>
      </c>
      <c r="F47" s="14">
        <f t="shared" si="13"/>
        <v>3</v>
      </c>
      <c r="G47" s="14">
        <f t="shared" si="13"/>
        <v>4</v>
      </c>
      <c r="H47" s="14">
        <f t="shared" si="13"/>
        <v>5</v>
      </c>
      <c r="I47" s="14">
        <f t="shared" si="13"/>
        <v>6</v>
      </c>
      <c r="J47" s="14">
        <f t="shared" si="13"/>
        <v>7</v>
      </c>
      <c r="K47" s="14">
        <f t="shared" si="13"/>
        <v>8</v>
      </c>
    </row>
    <row r="48" spans="1:11" x14ac:dyDescent="0.3">
      <c r="B48" t="s">
        <v>27</v>
      </c>
      <c r="C48" s="21">
        <f>C5</f>
        <v>20000</v>
      </c>
      <c r="D48" s="21">
        <f>D24*$C$6</f>
        <v>54000</v>
      </c>
      <c r="E48" s="21">
        <f t="shared" ref="E48:K48" si="14">E24*$C$6</f>
        <v>90000</v>
      </c>
      <c r="F48" s="21">
        <f t="shared" si="14"/>
        <v>108000</v>
      </c>
      <c r="G48" s="21">
        <f t="shared" si="14"/>
        <v>107250</v>
      </c>
      <c r="H48" s="21">
        <f t="shared" si="14"/>
        <v>99000</v>
      </c>
      <c r="I48" s="21">
        <f t="shared" si="14"/>
        <v>82500</v>
      </c>
      <c r="J48" s="21">
        <f t="shared" si="14"/>
        <v>66000</v>
      </c>
      <c r="K48" s="21">
        <f t="shared" si="14"/>
        <v>49500</v>
      </c>
    </row>
    <row r="50" spans="1:11" s="11" customFormat="1" x14ac:dyDescent="0.3">
      <c r="A50" s="11" t="s">
        <v>15</v>
      </c>
      <c r="B50" s="12" t="s">
        <v>14</v>
      </c>
    </row>
    <row r="52" spans="1:11" x14ac:dyDescent="0.3">
      <c r="C52" s="10" t="s">
        <v>17</v>
      </c>
      <c r="D52" s="10"/>
      <c r="E52" s="10"/>
      <c r="F52" s="10"/>
      <c r="G52" s="10"/>
      <c r="H52" s="10"/>
      <c r="I52" s="10"/>
      <c r="J52" s="10"/>
      <c r="K52" s="10"/>
    </row>
    <row r="53" spans="1:11" x14ac:dyDescent="0.3">
      <c r="B53" s="1" t="s">
        <v>29</v>
      </c>
      <c r="C53" s="13">
        <v>0</v>
      </c>
      <c r="D53" s="14">
        <f>C53+1</f>
        <v>1</v>
      </c>
      <c r="E53" s="14">
        <f t="shared" ref="E53:K53" si="15">D53+1</f>
        <v>2</v>
      </c>
      <c r="F53" s="14">
        <f t="shared" si="15"/>
        <v>3</v>
      </c>
      <c r="G53" s="14">
        <f t="shared" si="15"/>
        <v>4</v>
      </c>
      <c r="H53" s="14">
        <f t="shared" si="15"/>
        <v>5</v>
      </c>
      <c r="I53" s="14">
        <f t="shared" si="15"/>
        <v>6</v>
      </c>
      <c r="J53" s="14">
        <f t="shared" si="15"/>
        <v>7</v>
      </c>
      <c r="K53" s="14">
        <f t="shared" si="15"/>
        <v>8</v>
      </c>
    </row>
    <row r="54" spans="1:11" x14ac:dyDescent="0.3">
      <c r="B54" t="s">
        <v>20</v>
      </c>
      <c r="C54" s="21">
        <f>C28</f>
        <v>0</v>
      </c>
      <c r="D54" s="21">
        <f t="shared" ref="D54:K54" si="16">D28</f>
        <v>40680</v>
      </c>
      <c r="E54" s="21">
        <f t="shared" si="16"/>
        <v>79080</v>
      </c>
      <c r="F54" s="21">
        <f t="shared" si="16"/>
        <v>195080</v>
      </c>
      <c r="G54" s="21">
        <f t="shared" si="16"/>
        <v>200080</v>
      </c>
      <c r="H54" s="21">
        <f t="shared" si="16"/>
        <v>203560</v>
      </c>
      <c r="I54" s="21">
        <f t="shared" si="16"/>
        <v>153640</v>
      </c>
      <c r="J54" s="21">
        <f t="shared" si="16"/>
        <v>103560</v>
      </c>
      <c r="K54" s="21">
        <f t="shared" si="16"/>
        <v>89320</v>
      </c>
    </row>
    <row r="55" spans="1:11" x14ac:dyDescent="0.3">
      <c r="B55" t="s">
        <v>19</v>
      </c>
      <c r="C55" s="18">
        <f>C27</f>
        <v>0</v>
      </c>
      <c r="D55" s="18">
        <f t="shared" ref="D55:K55" si="17">D27</f>
        <v>114320</v>
      </c>
      <c r="E55" s="18">
        <f t="shared" si="17"/>
        <v>195920</v>
      </c>
      <c r="F55" s="18">
        <f t="shared" si="17"/>
        <v>139920</v>
      </c>
      <c r="G55" s="18">
        <f t="shared" si="17"/>
        <v>99920</v>
      </c>
      <c r="H55" s="18">
        <f t="shared" si="17"/>
        <v>71440</v>
      </c>
      <c r="I55" s="18">
        <f t="shared" si="17"/>
        <v>71360</v>
      </c>
      <c r="J55" s="18">
        <f t="shared" si="17"/>
        <v>71440</v>
      </c>
      <c r="K55" s="18">
        <f t="shared" si="17"/>
        <v>35680</v>
      </c>
    </row>
    <row r="56" spans="1:11" x14ac:dyDescent="0.3">
      <c r="B56" s="15" t="s">
        <v>21</v>
      </c>
      <c r="C56" s="22">
        <f>C29</f>
        <v>0</v>
      </c>
      <c r="D56" s="22">
        <f t="shared" ref="D56:K56" si="18">D29</f>
        <v>13831.2</v>
      </c>
      <c r="E56" s="22">
        <f t="shared" si="18"/>
        <v>26887.200000000001</v>
      </c>
      <c r="F56" s="22">
        <f t="shared" si="18"/>
        <v>66327.200000000012</v>
      </c>
      <c r="G56" s="22">
        <f t="shared" si="18"/>
        <v>68027.200000000012</v>
      </c>
      <c r="H56" s="22">
        <f t="shared" si="18"/>
        <v>69210.400000000009</v>
      </c>
      <c r="I56" s="22">
        <f t="shared" si="18"/>
        <v>52237.600000000006</v>
      </c>
      <c r="J56" s="22">
        <f t="shared" si="18"/>
        <v>35210.400000000001</v>
      </c>
      <c r="K56" s="22">
        <f t="shared" si="18"/>
        <v>30368.800000000003</v>
      </c>
    </row>
    <row r="57" spans="1:11" x14ac:dyDescent="0.3">
      <c r="B57" s="1" t="s">
        <v>29</v>
      </c>
      <c r="C57" s="18">
        <f>C54+C55-C56</f>
        <v>0</v>
      </c>
      <c r="D57" s="18">
        <f t="shared" ref="D57:K57" si="19">D54+D55-D56</f>
        <v>141168.79999999999</v>
      </c>
      <c r="E57" s="18">
        <f t="shared" si="19"/>
        <v>248112.8</v>
      </c>
      <c r="F57" s="18">
        <f t="shared" si="19"/>
        <v>268672.8</v>
      </c>
      <c r="G57" s="18">
        <f t="shared" si="19"/>
        <v>231972.8</v>
      </c>
      <c r="H57" s="18">
        <f t="shared" si="19"/>
        <v>205789.59999999998</v>
      </c>
      <c r="I57" s="18">
        <f t="shared" si="19"/>
        <v>172762.4</v>
      </c>
      <c r="J57" s="18">
        <f t="shared" si="19"/>
        <v>139789.6</v>
      </c>
      <c r="K57" s="18">
        <f t="shared" si="19"/>
        <v>94631.2</v>
      </c>
    </row>
    <row r="58" spans="1:11" x14ac:dyDescent="0.3">
      <c r="B58" s="1"/>
      <c r="C58" s="18"/>
      <c r="D58" s="18"/>
      <c r="E58" s="18"/>
      <c r="F58" s="18"/>
      <c r="G58" s="18"/>
      <c r="H58" s="18"/>
      <c r="I58" s="18"/>
      <c r="J58" s="18"/>
      <c r="K58" s="18"/>
    </row>
    <row r="59" spans="1:11" x14ac:dyDescent="0.3">
      <c r="B59" s="24" t="s">
        <v>33</v>
      </c>
    </row>
    <row r="60" spans="1:11" hidden="1" outlineLevel="1" x14ac:dyDescent="0.3">
      <c r="B60" s="2" t="s">
        <v>30</v>
      </c>
      <c r="C60" s="18">
        <f>C30+C27</f>
        <v>0</v>
      </c>
      <c r="D60" s="18">
        <f t="shared" ref="D60:K60" si="20">D30+D27</f>
        <v>141168.79999999999</v>
      </c>
      <c r="E60" s="18">
        <f t="shared" si="20"/>
        <v>248112.8</v>
      </c>
      <c r="F60" s="18">
        <f t="shared" si="20"/>
        <v>268672.8</v>
      </c>
      <c r="G60" s="18">
        <f t="shared" si="20"/>
        <v>231972.8</v>
      </c>
      <c r="H60" s="18">
        <f t="shared" si="20"/>
        <v>205789.59999999998</v>
      </c>
      <c r="I60" s="18">
        <f t="shared" si="20"/>
        <v>172762.4</v>
      </c>
      <c r="J60" s="18">
        <f t="shared" si="20"/>
        <v>139789.6</v>
      </c>
      <c r="K60" s="18">
        <f t="shared" si="20"/>
        <v>94631.2</v>
      </c>
    </row>
    <row r="61" spans="1:11" hidden="1" outlineLevel="1" x14ac:dyDescent="0.3">
      <c r="B61" s="2" t="s">
        <v>31</v>
      </c>
      <c r="C61" s="18">
        <f>C24-SUM(C25:C26)-C29</f>
        <v>0</v>
      </c>
      <c r="D61" s="18">
        <f t="shared" ref="D61:K61" si="21">D24-SUM(D25:D26)-D29</f>
        <v>141168.79999999999</v>
      </c>
      <c r="E61" s="18">
        <f t="shared" si="21"/>
        <v>248112.8</v>
      </c>
      <c r="F61" s="18">
        <f t="shared" si="21"/>
        <v>268672.8</v>
      </c>
      <c r="G61" s="18">
        <f t="shared" si="21"/>
        <v>231972.8</v>
      </c>
      <c r="H61" s="18">
        <f t="shared" si="21"/>
        <v>205789.59999999998</v>
      </c>
      <c r="I61" s="18">
        <f t="shared" si="21"/>
        <v>172762.4</v>
      </c>
      <c r="J61" s="18">
        <f t="shared" si="21"/>
        <v>139789.6</v>
      </c>
      <c r="K61" s="18">
        <f t="shared" si="21"/>
        <v>94631.2</v>
      </c>
    </row>
    <row r="62" spans="1:11" hidden="1" outlineLevel="1" x14ac:dyDescent="0.3">
      <c r="B62" s="2" t="s">
        <v>32</v>
      </c>
      <c r="C62" s="18">
        <f>(C24-SUM(C25:C26))*(1-$C$12)+C27*$C$12</f>
        <v>0</v>
      </c>
      <c r="D62" s="18">
        <f t="shared" ref="D62:K62" si="22">(D24-SUM(D25:D26))*(1-$C$12)+D27*$C$12</f>
        <v>141168.79999999999</v>
      </c>
      <c r="E62" s="18">
        <f t="shared" si="22"/>
        <v>248112.8</v>
      </c>
      <c r="F62" s="18">
        <f t="shared" si="22"/>
        <v>268672.8</v>
      </c>
      <c r="G62" s="18">
        <f t="shared" si="22"/>
        <v>231972.8</v>
      </c>
      <c r="H62" s="18">
        <f t="shared" si="22"/>
        <v>205789.59999999998</v>
      </c>
      <c r="I62" s="18">
        <f t="shared" si="22"/>
        <v>172762.39999999997</v>
      </c>
      <c r="J62" s="18">
        <f t="shared" si="22"/>
        <v>139789.59999999998</v>
      </c>
      <c r="K62" s="18">
        <f t="shared" si="22"/>
        <v>94631.199999999983</v>
      </c>
    </row>
    <row r="63" spans="1:11" collapsed="1" x14ac:dyDescent="0.3"/>
    <row r="64" spans="1:11" x14ac:dyDescent="0.3">
      <c r="B64" s="1" t="s">
        <v>27</v>
      </c>
    </row>
    <row r="65" spans="2:11" x14ac:dyDescent="0.3">
      <c r="B65" t="s">
        <v>34</v>
      </c>
      <c r="C65" s="21">
        <f>-C48</f>
        <v>-20000</v>
      </c>
    </row>
    <row r="66" spans="2:11" x14ac:dyDescent="0.3">
      <c r="B66" t="s">
        <v>35</v>
      </c>
      <c r="D66" s="21">
        <f>-(D48-C48)</f>
        <v>-34000</v>
      </c>
      <c r="E66" s="21">
        <f t="shared" ref="E66:K66" si="23">-(E48-D48)</f>
        <v>-36000</v>
      </c>
      <c r="F66" s="21">
        <f t="shared" si="23"/>
        <v>-18000</v>
      </c>
      <c r="G66" s="21">
        <f t="shared" si="23"/>
        <v>750</v>
      </c>
      <c r="H66" s="21">
        <f t="shared" si="23"/>
        <v>8250</v>
      </c>
      <c r="I66" s="21">
        <f t="shared" si="23"/>
        <v>16500</v>
      </c>
      <c r="J66" s="21">
        <f t="shared" si="23"/>
        <v>16500</v>
      </c>
      <c r="K66" s="21">
        <f t="shared" si="23"/>
        <v>16500</v>
      </c>
    </row>
    <row r="67" spans="2:11" x14ac:dyDescent="0.3">
      <c r="B67" s="15" t="s">
        <v>36</v>
      </c>
      <c r="C67" s="15"/>
      <c r="D67" s="15"/>
      <c r="E67" s="15"/>
      <c r="F67" s="15"/>
      <c r="G67" s="15"/>
      <c r="H67" s="15"/>
      <c r="I67" s="15"/>
      <c r="J67" s="15"/>
      <c r="K67" s="25">
        <f>SUM(C65:K66)*-1</f>
        <v>49500</v>
      </c>
    </row>
    <row r="68" spans="2:11" x14ac:dyDescent="0.3">
      <c r="B68" s="24" t="s">
        <v>37</v>
      </c>
      <c r="C68" s="21">
        <f>SUM(C65:C67)</f>
        <v>-20000</v>
      </c>
      <c r="D68" s="21">
        <f t="shared" ref="D68:K68" si="24">SUM(D65:D67)</f>
        <v>-34000</v>
      </c>
      <c r="E68" s="21">
        <f t="shared" si="24"/>
        <v>-36000</v>
      </c>
      <c r="F68" s="21">
        <f t="shared" si="24"/>
        <v>-18000</v>
      </c>
      <c r="G68" s="21">
        <f t="shared" si="24"/>
        <v>750</v>
      </c>
      <c r="H68" s="21">
        <f t="shared" si="24"/>
        <v>8250</v>
      </c>
      <c r="I68" s="21">
        <f t="shared" si="24"/>
        <v>16500</v>
      </c>
      <c r="J68" s="21">
        <f t="shared" si="24"/>
        <v>16500</v>
      </c>
      <c r="K68" s="21">
        <f t="shared" si="24"/>
        <v>66000</v>
      </c>
    </row>
    <row r="70" spans="2:11" x14ac:dyDescent="0.3">
      <c r="B70" s="1" t="s">
        <v>38</v>
      </c>
    </row>
    <row r="71" spans="2:11" x14ac:dyDescent="0.3">
      <c r="B71" t="s">
        <v>39</v>
      </c>
      <c r="C71" s="21">
        <f>-C9</f>
        <v>-800000</v>
      </c>
    </row>
    <row r="72" spans="2:11" x14ac:dyDescent="0.3">
      <c r="B72" s="15" t="s">
        <v>40</v>
      </c>
      <c r="C72" s="15"/>
      <c r="D72" s="15"/>
      <c r="E72" s="15"/>
      <c r="F72" s="15"/>
      <c r="G72" s="15"/>
      <c r="H72" s="15"/>
      <c r="I72" s="15"/>
      <c r="J72" s="15"/>
      <c r="K72" s="25">
        <f>K41</f>
        <v>105599.99999999999</v>
      </c>
    </row>
    <row r="73" spans="2:11" x14ac:dyDescent="0.3">
      <c r="B73" s="24" t="s">
        <v>41</v>
      </c>
      <c r="C73" s="21">
        <f>SUM(C71:C72)</f>
        <v>-800000</v>
      </c>
      <c r="D73" s="21">
        <f t="shared" ref="D73:K73" si="25">SUM(D71:D72)</f>
        <v>0</v>
      </c>
      <c r="E73" s="21">
        <f t="shared" si="25"/>
        <v>0</v>
      </c>
      <c r="F73" s="21">
        <f t="shared" si="25"/>
        <v>0</v>
      </c>
      <c r="G73" s="21">
        <f t="shared" si="25"/>
        <v>0</v>
      </c>
      <c r="H73" s="21">
        <f t="shared" si="25"/>
        <v>0</v>
      </c>
      <c r="I73" s="21">
        <f t="shared" si="25"/>
        <v>0</v>
      </c>
      <c r="J73" s="21">
        <f t="shared" si="25"/>
        <v>0</v>
      </c>
      <c r="K73" s="21">
        <f t="shared" si="25"/>
        <v>105599.99999999999</v>
      </c>
    </row>
    <row r="75" spans="2:11" x14ac:dyDescent="0.3">
      <c r="B75" t="s">
        <v>42</v>
      </c>
      <c r="C75" s="21">
        <f>C57+C68+C73</f>
        <v>-820000</v>
      </c>
      <c r="D75" s="21">
        <f t="shared" ref="D75:K75" si="26">D57+D68+D73</f>
        <v>107168.79999999999</v>
      </c>
      <c r="E75" s="21">
        <f t="shared" si="26"/>
        <v>212112.8</v>
      </c>
      <c r="F75" s="21">
        <f t="shared" si="26"/>
        <v>250672.8</v>
      </c>
      <c r="G75" s="21">
        <f t="shared" si="26"/>
        <v>232722.8</v>
      </c>
      <c r="H75" s="21">
        <f t="shared" si="26"/>
        <v>214039.59999999998</v>
      </c>
      <c r="I75" s="21">
        <f t="shared" si="26"/>
        <v>189262.4</v>
      </c>
      <c r="J75" s="21">
        <f t="shared" si="26"/>
        <v>156289.60000000001</v>
      </c>
      <c r="K75" s="21">
        <f t="shared" si="26"/>
        <v>266231.2</v>
      </c>
    </row>
    <row r="76" spans="2:11" x14ac:dyDescent="0.3">
      <c r="B76" t="s">
        <v>47</v>
      </c>
      <c r="C76" s="21"/>
      <c r="D76" s="21">
        <f>D75+C75</f>
        <v>-712831.2</v>
      </c>
      <c r="E76" s="21">
        <f>D76+E75</f>
        <v>-500718.39999999997</v>
      </c>
      <c r="F76" s="21">
        <f t="shared" ref="F76:K76" si="27">E76+F75</f>
        <v>-250045.59999999998</v>
      </c>
      <c r="G76" s="21">
        <f t="shared" si="27"/>
        <v>-17322.799999999988</v>
      </c>
      <c r="H76" s="21">
        <f t="shared" si="27"/>
        <v>196716.79999999999</v>
      </c>
      <c r="I76" s="21">
        <f t="shared" si="27"/>
        <v>385979.19999999995</v>
      </c>
      <c r="J76" s="21">
        <f t="shared" si="27"/>
        <v>542268.79999999993</v>
      </c>
      <c r="K76" s="21">
        <f t="shared" si="27"/>
        <v>808500</v>
      </c>
    </row>
    <row r="78" spans="2:11" x14ac:dyDescent="0.3">
      <c r="D78" t="s">
        <v>46</v>
      </c>
    </row>
    <row r="79" spans="2:11" x14ac:dyDescent="0.3">
      <c r="B79" t="s">
        <v>43</v>
      </c>
      <c r="C79" s="21">
        <f>NPV(C13,D75:K75)+C75</f>
        <v>65484.831663791789</v>
      </c>
      <c r="D79" t="str">
        <f>IF(C79&gt;0,"Y","N")</f>
        <v>Y</v>
      </c>
    </row>
    <row r="80" spans="2:11" x14ac:dyDescent="0.3">
      <c r="B80" t="s">
        <v>44</v>
      </c>
      <c r="C80" s="26">
        <f>IRR(C75:K75)</f>
        <v>0.17235974359046913</v>
      </c>
      <c r="D80" t="str">
        <f>IF(C80&gt;C13,"Y","N")</f>
        <v>Y</v>
      </c>
    </row>
    <row r="81" spans="2:3" x14ac:dyDescent="0.3">
      <c r="B81" t="s">
        <v>45</v>
      </c>
      <c r="C81" s="27">
        <f>G53+(-G76/H75)</f>
        <v>4.0809326872223641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Mega_Example_CF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2021-03-29T18:07:28Z</dcterms:created>
  <dcterms:modified xsi:type="dcterms:W3CDTF">2021-03-29T19:23:24Z</dcterms:modified>
</cp:coreProperties>
</file>