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ownloads\"/>
    </mc:Choice>
  </mc:AlternateContent>
  <xr:revisionPtr revIDLastSave="0" documentId="13_ncr:1_{882EE949-82ED-4A78-91B4-ACE71710D9B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YETI_DCF" sheetId="1" r:id="rId1"/>
    <sheet name="YETI_IS" sheetId="20" r:id="rId2"/>
    <sheet name="YETI_BS" sheetId="19" r:id="rId3"/>
    <sheet name="YETI_CFS" sheetId="21" r:id="rId4"/>
    <sheet name="Option_Value" sheetId="18" r:id="rId5"/>
  </sheets>
  <externalReferences>
    <externalReference r:id="rId6"/>
    <externalReference r:id="rId7"/>
  </externalReferences>
  <definedNames>
    <definedName name="_xlnm._FilterDatabase" localSheetId="0" hidden="1">YETI_DCF!#REF!</definedName>
    <definedName name="AXL_Debt">[1]AXL_BS!$B$65</definedName>
    <definedName name="BEA_Debt">#REF!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[2]KKD_BS_LQ!$B$3</definedName>
    <definedName name="Krispy_EBITDA_LTM">[2]KKD_LTM!$E$6</definedName>
    <definedName name="LEA_Debt">[1]LEA_BS!$B$58</definedName>
    <definedName name="THRM_Debt">[1]THRM_BS!$B$78</definedName>
    <definedName name="VC_Debt">[1]VC_BS!$B$109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" l="1"/>
  <c r="F101" i="1"/>
  <c r="E141" i="1" l="1"/>
  <c r="F141" i="1" s="1"/>
  <c r="G141" i="1" s="1"/>
  <c r="H141" i="1" s="1"/>
  <c r="I141" i="1" s="1"/>
  <c r="J141" i="1" s="1"/>
  <c r="K141" i="1" s="1"/>
  <c r="L141" i="1" s="1"/>
  <c r="C143" i="1"/>
  <c r="C144" i="1" s="1"/>
  <c r="C145" i="1" s="1"/>
  <c r="C146" i="1" s="1"/>
  <c r="C147" i="1" s="1"/>
  <c r="E9" i="18"/>
  <c r="S43" i="1"/>
  <c r="E10" i="18"/>
  <c r="N92" i="1"/>
  <c r="S49" i="1"/>
  <c r="S50" i="1"/>
  <c r="N89" i="1"/>
  <c r="I88" i="1"/>
  <c r="I89" i="1" s="1"/>
  <c r="I90" i="1" s="1"/>
  <c r="N50" i="1"/>
  <c r="H50" i="1"/>
  <c r="G128" i="1"/>
  <c r="I128" i="1" s="1"/>
  <c r="G129" i="1"/>
  <c r="I129" i="1" s="1"/>
  <c r="G126" i="1"/>
  <c r="I126" i="1" s="1"/>
  <c r="C135" i="1"/>
  <c r="K128" i="1"/>
  <c r="K129" i="1" s="1"/>
  <c r="K127" i="1"/>
  <c r="F127" i="1"/>
  <c r="G127" i="1" s="1"/>
  <c r="I127" i="1" s="1"/>
  <c r="F110" i="1"/>
  <c r="F108" i="1"/>
  <c r="F102" i="1"/>
  <c r="F99" i="1"/>
  <c r="G24" i="1"/>
  <c r="F24" i="1"/>
  <c r="M77" i="1"/>
  <c r="N77" i="1" s="1"/>
  <c r="O77" i="1" s="1"/>
  <c r="P77" i="1" s="1"/>
  <c r="Q77" i="1" s="1"/>
  <c r="R77" i="1" s="1"/>
  <c r="C6" i="19"/>
  <c r="D6" i="19"/>
  <c r="E6" i="19"/>
  <c r="B6" i="19"/>
  <c r="F104" i="1" l="1"/>
  <c r="C133" i="1"/>
  <c r="I92" i="1"/>
  <c r="C134" i="1"/>
  <c r="C136" i="1" s="1"/>
  <c r="F105" i="1"/>
  <c r="F23" i="1"/>
  <c r="F22" i="1"/>
  <c r="F17" i="1"/>
  <c r="F14" i="1"/>
  <c r="C6" i="20"/>
  <c r="D6" i="20"/>
  <c r="E6" i="20"/>
  <c r="F6" i="20"/>
  <c r="B6" i="20"/>
  <c r="F116" i="1" l="1"/>
  <c r="F117" i="1" s="1"/>
  <c r="H52" i="1"/>
  <c r="N52" i="1"/>
  <c r="F35" i="1"/>
  <c r="F13" i="1"/>
  <c r="F15" i="1" s="1"/>
  <c r="B136" i="1"/>
  <c r="B135" i="1"/>
  <c r="G20" i="18"/>
  <c r="D20" i="18"/>
  <c r="G19" i="18"/>
  <c r="G18" i="18"/>
  <c r="G21" i="18" s="1"/>
  <c r="D17" i="18"/>
  <c r="D19" i="18" s="1"/>
  <c r="G16" i="18"/>
  <c r="G17" i="18"/>
  <c r="N45" i="1" l="1"/>
  <c r="H45" i="1"/>
  <c r="F18" i="1"/>
  <c r="F36" i="1"/>
  <c r="F33" i="1"/>
  <c r="F34" i="1"/>
  <c r="F19" i="1"/>
  <c r="F20" i="1" s="1"/>
  <c r="F25" i="1" s="1"/>
  <c r="F32" i="1"/>
  <c r="B134" i="1"/>
  <c r="B6" i="1"/>
  <c r="G12" i="1" l="1"/>
  <c r="F61" i="1"/>
  <c r="F29" i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G61" i="1" l="1"/>
  <c r="F67" i="1"/>
  <c r="F66" i="1"/>
  <c r="F63" i="1"/>
  <c r="F68" i="1"/>
  <c r="F62" i="1"/>
  <c r="U33" i="1"/>
  <c r="M33" i="1" s="1"/>
  <c r="N33" i="1" s="1"/>
  <c r="O33" i="1" s="1"/>
  <c r="P33" i="1" s="1"/>
  <c r="Q33" i="1" s="1"/>
  <c r="R33" i="1" s="1"/>
  <c r="U35" i="1"/>
  <c r="M35" i="1" s="1"/>
  <c r="N35" i="1" s="1"/>
  <c r="O35" i="1" s="1"/>
  <c r="P35" i="1" s="1"/>
  <c r="Q35" i="1" s="1"/>
  <c r="R35" i="1" s="1"/>
  <c r="U32" i="1"/>
  <c r="M32" i="1" s="1"/>
  <c r="N32" i="1" s="1"/>
  <c r="O32" i="1" s="1"/>
  <c r="P32" i="1" s="1"/>
  <c r="Q32" i="1" s="1"/>
  <c r="R32" i="1" s="1"/>
  <c r="U34" i="1"/>
  <c r="M34" i="1" s="1"/>
  <c r="U31" i="1"/>
  <c r="M31" i="1" s="1"/>
  <c r="N31" i="1" s="1"/>
  <c r="O31" i="1" s="1"/>
  <c r="P31" i="1" s="1"/>
  <c r="Q31" i="1" s="1"/>
  <c r="R31" i="1" s="1"/>
  <c r="H12" i="1"/>
  <c r="I12" i="1" s="1"/>
  <c r="G14" i="1"/>
  <c r="G17" i="1"/>
  <c r="G23" i="1"/>
  <c r="G13" i="1"/>
  <c r="G22" i="1"/>
  <c r="F76" i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H61" i="1"/>
  <c r="F69" i="1" l="1"/>
  <c r="H63" i="1"/>
  <c r="H68" i="1"/>
  <c r="H62" i="1"/>
  <c r="H64" i="1" s="1"/>
  <c r="H67" i="1"/>
  <c r="H66" i="1"/>
  <c r="F64" i="1"/>
  <c r="G35" i="1"/>
  <c r="G66" i="1"/>
  <c r="G63" i="1"/>
  <c r="G68" i="1"/>
  <c r="G62" i="1"/>
  <c r="G67" i="1"/>
  <c r="G32" i="1"/>
  <c r="N34" i="1"/>
  <c r="G34" i="1"/>
  <c r="G33" i="1"/>
  <c r="I13" i="1"/>
  <c r="I23" i="1"/>
  <c r="I17" i="1"/>
  <c r="I22" i="1"/>
  <c r="I35" i="1" s="1"/>
  <c r="I14" i="1"/>
  <c r="I32" i="1" s="1"/>
  <c r="G15" i="1"/>
  <c r="G31" i="1"/>
  <c r="H13" i="1"/>
  <c r="H17" i="1"/>
  <c r="H22" i="1"/>
  <c r="H14" i="1"/>
  <c r="H23" i="1"/>
  <c r="H34" i="1" s="1"/>
  <c r="I61" i="1"/>
  <c r="J12" i="1"/>
  <c r="F71" i="1" l="1"/>
  <c r="I33" i="1"/>
  <c r="G64" i="1"/>
  <c r="I34" i="1"/>
  <c r="I68" i="1"/>
  <c r="I67" i="1"/>
  <c r="I66" i="1"/>
  <c r="I63" i="1"/>
  <c r="I62" i="1"/>
  <c r="I64" i="1" s="1"/>
  <c r="G69" i="1"/>
  <c r="G71" i="1" s="1"/>
  <c r="G77" i="1" s="1"/>
  <c r="H69" i="1"/>
  <c r="H71" i="1" s="1"/>
  <c r="H35" i="1"/>
  <c r="G18" i="1"/>
  <c r="G19" i="1" s="1"/>
  <c r="G36" i="1"/>
  <c r="H32" i="1"/>
  <c r="H33" i="1"/>
  <c r="O34" i="1"/>
  <c r="H15" i="1"/>
  <c r="H31" i="1"/>
  <c r="J13" i="1"/>
  <c r="J14" i="1"/>
  <c r="J23" i="1"/>
  <c r="J17" i="1"/>
  <c r="J22" i="1"/>
  <c r="I31" i="1"/>
  <c r="I15" i="1"/>
  <c r="J61" i="1"/>
  <c r="K12" i="1"/>
  <c r="L12" i="1" s="1"/>
  <c r="M12" i="1" s="1"/>
  <c r="N12" i="1" s="1"/>
  <c r="O12" i="1" s="1"/>
  <c r="P12" i="1" s="1"/>
  <c r="Q12" i="1" s="1"/>
  <c r="R12" i="1" s="1"/>
  <c r="H72" i="1" l="1"/>
  <c r="H24" i="1" s="1"/>
  <c r="H77" i="1"/>
  <c r="J67" i="1"/>
  <c r="J66" i="1"/>
  <c r="J63" i="1"/>
  <c r="J62" i="1"/>
  <c r="J64" i="1" s="1"/>
  <c r="J68" i="1"/>
  <c r="I71" i="1"/>
  <c r="I69" i="1"/>
  <c r="J35" i="1"/>
  <c r="K13" i="1"/>
  <c r="K71" i="1" s="1"/>
  <c r="G20" i="1"/>
  <c r="G25" i="1" s="1"/>
  <c r="J34" i="1"/>
  <c r="H18" i="1"/>
  <c r="H19" i="1" s="1"/>
  <c r="H20" i="1" s="1"/>
  <c r="H25" i="1" s="1"/>
  <c r="H36" i="1"/>
  <c r="P34" i="1"/>
  <c r="J33" i="1"/>
  <c r="I18" i="1"/>
  <c r="I19" i="1" s="1"/>
  <c r="I20" i="1" s="1"/>
  <c r="I36" i="1"/>
  <c r="J32" i="1"/>
  <c r="J31" i="1"/>
  <c r="J15" i="1"/>
  <c r="K61" i="1"/>
  <c r="L61" i="1" s="1"/>
  <c r="M61" i="1" s="1"/>
  <c r="N61" i="1" s="1"/>
  <c r="O61" i="1" s="1"/>
  <c r="P61" i="1" s="1"/>
  <c r="Q61" i="1" s="1"/>
  <c r="R61" i="1" s="1"/>
  <c r="K14" i="1" l="1"/>
  <c r="K15" i="1" s="1"/>
  <c r="J69" i="1"/>
  <c r="K17" i="1"/>
  <c r="K18" i="1" s="1"/>
  <c r="K19" i="1" s="1"/>
  <c r="K20" i="1" s="1"/>
  <c r="J71" i="1"/>
  <c r="I72" i="1"/>
  <c r="I24" i="1" s="1"/>
  <c r="I25" i="1" s="1"/>
  <c r="I77" i="1"/>
  <c r="K23" i="1"/>
  <c r="K22" i="1" s="1"/>
  <c r="L13" i="1"/>
  <c r="L71" i="1" s="1"/>
  <c r="L72" i="1" s="1"/>
  <c r="L24" i="1" s="1"/>
  <c r="K36" i="1"/>
  <c r="Q34" i="1"/>
  <c r="J18" i="1"/>
  <c r="J19" i="1" s="1"/>
  <c r="J20" i="1" s="1"/>
  <c r="J36" i="1"/>
  <c r="M13" i="1" l="1"/>
  <c r="M71" i="1" s="1"/>
  <c r="M72" i="1" s="1"/>
  <c r="M24" i="1" s="1"/>
  <c r="L23" i="1"/>
  <c r="L22" i="1" s="1"/>
  <c r="L17" i="1"/>
  <c r="J72" i="1"/>
  <c r="J24" i="1" s="1"/>
  <c r="J25" i="1" s="1"/>
  <c r="J77" i="1"/>
  <c r="K72" i="1"/>
  <c r="K24" i="1" s="1"/>
  <c r="K25" i="1" s="1"/>
  <c r="L14" i="1"/>
  <c r="L15" i="1" s="1"/>
  <c r="L36" i="1" s="1"/>
  <c r="R34" i="1"/>
  <c r="M17" i="1"/>
  <c r="M23" i="1"/>
  <c r="M22" i="1" s="1"/>
  <c r="N13" i="1" l="1"/>
  <c r="N71" i="1" s="1"/>
  <c r="N72" i="1" s="1"/>
  <c r="N24" i="1" s="1"/>
  <c r="M14" i="1"/>
  <c r="M15" i="1" s="1"/>
  <c r="M36" i="1" s="1"/>
  <c r="L18" i="1"/>
  <c r="L19" i="1" s="1"/>
  <c r="L20" i="1" s="1"/>
  <c r="L25" i="1" s="1"/>
  <c r="N14" i="1"/>
  <c r="N15" i="1" s="1"/>
  <c r="N36" i="1" s="1"/>
  <c r="O13" i="1"/>
  <c r="O71" i="1" s="1"/>
  <c r="O72" i="1" s="1"/>
  <c r="O24" i="1" s="1"/>
  <c r="N23" i="1"/>
  <c r="N22" i="1" s="1"/>
  <c r="N17" i="1" l="1"/>
  <c r="M18" i="1"/>
  <c r="M19" i="1" s="1"/>
  <c r="M20" i="1" s="1"/>
  <c r="M25" i="1" s="1"/>
  <c r="O17" i="1"/>
  <c r="P13" i="1"/>
  <c r="P71" i="1" s="1"/>
  <c r="P72" i="1" s="1"/>
  <c r="P24" i="1" s="1"/>
  <c r="O14" i="1"/>
  <c r="O15" i="1" s="1"/>
  <c r="O23" i="1"/>
  <c r="O22" i="1" s="1"/>
  <c r="N18" i="1"/>
  <c r="N19" i="1" s="1"/>
  <c r="N20" i="1" s="1"/>
  <c r="N25" i="1" s="1"/>
  <c r="O18" i="1" l="1"/>
  <c r="O19" i="1" s="1"/>
  <c r="O20" i="1" s="1"/>
  <c r="O25" i="1" s="1"/>
  <c r="O36" i="1"/>
  <c r="P14" i="1"/>
  <c r="P15" i="1" s="1"/>
  <c r="P36" i="1" s="1"/>
  <c r="P17" i="1"/>
  <c r="Q13" i="1"/>
  <c r="Q71" i="1" s="1"/>
  <c r="Q72" i="1" s="1"/>
  <c r="Q24" i="1" s="1"/>
  <c r="P23" i="1"/>
  <c r="P22" i="1" s="1"/>
  <c r="R13" i="1" l="1"/>
  <c r="R71" i="1" s="1"/>
  <c r="R72" i="1" s="1"/>
  <c r="R24" i="1" s="1"/>
  <c r="Q17" i="1"/>
  <c r="Q14" i="1"/>
  <c r="Q15" i="1" s="1"/>
  <c r="Q23" i="1"/>
  <c r="Q22" i="1" s="1"/>
  <c r="P18" i="1"/>
  <c r="P19" i="1" s="1"/>
  <c r="P20" i="1" s="1"/>
  <c r="P25" i="1" s="1"/>
  <c r="Q18" i="1" l="1"/>
  <c r="Q19" i="1" s="1"/>
  <c r="Q20" i="1" s="1"/>
  <c r="Q25" i="1" s="1"/>
  <c r="Q36" i="1"/>
  <c r="R14" i="1"/>
  <c r="R15" i="1" s="1"/>
  <c r="R36" i="1" s="1"/>
  <c r="R17" i="1"/>
  <c r="R23" i="1"/>
  <c r="R22" i="1" s="1"/>
  <c r="R18" i="1" l="1"/>
  <c r="R19" i="1" l="1"/>
  <c r="R20" i="1" s="1"/>
  <c r="R25" i="1" s="1"/>
  <c r="N42" i="1"/>
  <c r="N44" i="1" s="1"/>
  <c r="N46" i="1" s="1"/>
  <c r="H42" i="1" l="1"/>
  <c r="H44" i="1" s="1"/>
  <c r="H46" i="1" s="1"/>
  <c r="H48" i="1"/>
  <c r="N48" i="1"/>
  <c r="N49" i="1" s="1"/>
  <c r="N51" i="1" s="1"/>
  <c r="N53" i="1" s="1"/>
  <c r="H49" i="1" l="1"/>
  <c r="H51" i="1" s="1"/>
  <c r="S42" i="1" s="1"/>
  <c r="H53" i="1" l="1"/>
  <c r="C141" i="1" s="1"/>
  <c r="S48" i="1"/>
  <c r="S51" i="1" s="1"/>
  <c r="E3" i="18" l="1"/>
  <c r="D16" i="18"/>
  <c r="D18" i="18"/>
  <c r="C23" i="18"/>
  <c r="C24" i="18"/>
  <c r="C26" i="18"/>
  <c r="C27" i="18"/>
  <c r="D29" i="18"/>
  <c r="E30" i="18"/>
  <c r="S44" i="1"/>
  <c r="S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H43" authorId="0" shapeId="0" xr:uid="{04306DAC-0450-4530-B3FA-32F7A7F9AFB7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US Treasury 10-year as of end of day 3/25/2020
</t>
        </r>
      </text>
    </comment>
    <comment ref="N43" authorId="0" shapeId="0" xr:uid="{817A3238-049B-4F4A-9EB6-F2CF1E949901}">
      <text>
        <r>
          <rPr>
            <b/>
            <sz val="9"/>
            <color indexed="81"/>
            <rFont val="Tahoma"/>
            <family val="2"/>
          </rPr>
          <t xml:space="preserve">David Moore
</t>
        </r>
        <r>
          <rPr>
            <sz val="9"/>
            <color indexed="81"/>
            <rFont val="Tahoma"/>
            <family val="2"/>
          </rPr>
          <t>As of 3/25/2020 Competitor average EV/EBITDA. Using CapitalIQ. Damadoran as of 1/1/2020 lists 13.3 for recreational</t>
        </r>
      </text>
    </comment>
    <comment ref="F100" authorId="0" shapeId="0" xr:uid="{D63A385F-6D06-45CD-9DCD-2663B76497DC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Closing Price 3/25/2020
</t>
        </r>
      </text>
    </comment>
    <comment ref="F101" authorId="0" shapeId="0" xr:uid="{7FE56A3A-AA6A-425E-A579-921171BB4B2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10-K FYE 12/28/2019
</t>
        </r>
      </text>
    </comment>
    <comment ref="F109" authorId="0" shapeId="0" xr:uid="{0D0A40C1-2402-43F5-811F-3AB382EC7F99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Damadoran Market Update Viral 3 YouTube slides. </t>
        </r>
      </text>
    </comment>
    <comment ref="F114" authorId="0" shapeId="0" xr:uid="{CCB1DF0D-2CD6-463C-B217-03B1B029D86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US Treasury 10-year as of end of day 3/25/2020
</t>
        </r>
      </text>
    </comment>
    <comment ref="H125" authorId="0" shapeId="0" xr:uid="{B04E3A58-D682-47BB-B080-BF8F0E05F71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Yahoo finance, 5-year monthly data. 3/25/2020
</t>
        </r>
      </text>
    </comment>
  </commentList>
</comments>
</file>

<file path=xl/sharedStrings.xml><?xml version="1.0" encoding="utf-8"?>
<sst xmlns="http://schemas.openxmlformats.org/spreadsheetml/2006/main" count="587" uniqueCount="300">
  <si>
    <t>SG&amp;A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</si>
  <si>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</si>
  <si>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</si>
  <si>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</si>
  <si>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</si>
  <si>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</si>
  <si>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</si>
  <si>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</si>
  <si>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</si>
  <si>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</si>
  <si>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</si>
  <si>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</si>
  <si>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</si>
  <si>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</si>
  <si>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</si>
  <si>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</si>
  <si>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</si>
  <si>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</si>
  <si>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</si>
  <si>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</si>
  <si>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</si>
  <si>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</si>
  <si>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</si>
  <si>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Terminal value</t>
  </si>
  <si>
    <t>Terminal year EBITDA multiple</t>
  </si>
  <si>
    <t>Terminal year EBITDA</t>
  </si>
  <si>
    <t>Unlevered FCF in terminal year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</si>
  <si>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</si>
  <si>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</si>
  <si>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</si>
  <si>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</si>
  <si>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</si>
  <si>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</si>
  <si>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</si>
  <si>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</si>
  <si>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</si>
  <si>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</si>
  <si>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</si>
  <si>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</si>
  <si>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</si>
  <si>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Gross Profit</t>
  </si>
  <si>
    <t>Cost of goods sold</t>
  </si>
  <si>
    <t>Net sales</t>
  </si>
  <si>
    <t>FORECASTING CASH FLOWS</t>
  </si>
  <si>
    <t>Year end shares outstanding</t>
  </si>
  <si>
    <t>Income taxes paid</t>
  </si>
  <si>
    <t>Accounts payable</t>
  </si>
  <si>
    <t>Prepaid expenses &amp; other current assets</t>
  </si>
  <si>
    <t>Deferred income taxes</t>
  </si>
  <si>
    <t>Depreciation &amp; amortization</t>
  </si>
  <si>
    <t>Retained earnings (accumulated deficit)</t>
  </si>
  <si>
    <t>Additional paid-in capital</t>
  </si>
  <si>
    <t>Common stock</t>
  </si>
  <si>
    <t>Total liabilities</t>
  </si>
  <si>
    <t>Total assets</t>
  </si>
  <si>
    <t>Intangible assets, net</t>
  </si>
  <si>
    <t>Goodwill</t>
  </si>
  <si>
    <t>DILUTED SHARES</t>
  </si>
  <si>
    <t>Basic share count</t>
  </si>
  <si>
    <t>Exercise price</t>
  </si>
  <si>
    <t>Current share price</t>
  </si>
  <si>
    <t>Total proceeds</t>
  </si>
  <si>
    <t>Total shares repurchased</t>
  </si>
  <si>
    <t>Diluted shares outstanding</t>
  </si>
  <si>
    <t>WACC</t>
  </si>
  <si>
    <t>Current</t>
  </si>
  <si>
    <t>Percent of Capital</t>
  </si>
  <si>
    <t>Total debt</t>
  </si>
  <si>
    <t>Share price</t>
  </si>
  <si>
    <t>Market value of equity</t>
  </si>
  <si>
    <t>Weight of debt</t>
  </si>
  <si>
    <t>Weight of equity</t>
  </si>
  <si>
    <t>Cost of debt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</si>
  <si>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</si>
  <si>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</si>
  <si>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</si>
  <si>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</si>
  <si>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</si>
  <si>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</si>
  <si>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</si>
  <si>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</si>
  <si>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</si>
  <si>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</si>
  <si>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</si>
  <si>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</si>
  <si>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</si>
  <si>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</si>
  <si>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</si>
  <si>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Equity</t>
  </si>
  <si>
    <t>Debt</t>
  </si>
  <si>
    <t>Tax Rate</t>
  </si>
  <si>
    <t>Average unlevered beta</t>
  </si>
  <si>
    <t>x</t>
  </si>
  <si>
    <t>Shares outstanding</t>
  </si>
  <si>
    <t>Option Drag</t>
  </si>
  <si>
    <t>Implied Equity Value (Using TV)</t>
  </si>
  <si>
    <t>Basic Shares</t>
  </si>
  <si>
    <t>Value of Options</t>
  </si>
  <si>
    <t>Treasury Outstanding Options</t>
  </si>
  <si>
    <t>Treasury Method- All Outstanding Options</t>
  </si>
  <si>
    <t>Oustanding options</t>
  </si>
  <si>
    <t>Total Proceeds</t>
  </si>
  <si>
    <t>SENSITIVITY ANALYSIS</t>
  </si>
  <si>
    <t>Ticker</t>
  </si>
  <si>
    <t>Company Name</t>
  </si>
  <si>
    <t>Yeti Holdings Inc</t>
  </si>
  <si>
    <t xml:space="preserve">Valuation Date </t>
  </si>
  <si>
    <t>YETI</t>
  </si>
  <si>
    <t>Valuing Options or Warrants</t>
  </si>
  <si>
    <t>Enter the current stock price =</t>
  </si>
  <si>
    <t>Enter the strike price on the option =</t>
  </si>
  <si>
    <t>Enter the expiration of the option =</t>
  </si>
  <si>
    <t>Enter the standard deviation in stock prices =</t>
  </si>
  <si>
    <t>(volatility)</t>
  </si>
  <si>
    <t>Enter the annualized dividend yield on stock =</t>
  </si>
  <si>
    <t>Enter the treasury bond rate =</t>
  </si>
  <si>
    <t>Enter the number of options outstanding =</t>
  </si>
  <si>
    <t>Enter the number of shares outstanding =</t>
  </si>
  <si>
    <t>Circuit Breaker</t>
  </si>
  <si>
    <t>OFF</t>
  </si>
  <si>
    <t>Do not input any numbers below this line</t>
  </si>
  <si>
    <t>VALUING WARRANTS WHEN THERE IS DILUTION</t>
  </si>
  <si>
    <t>Stock Price=</t>
  </si>
  <si>
    <t># Warrants issued=</t>
  </si>
  <si>
    <t>Strike Price=</t>
  </si>
  <si>
    <t># Shares outstanding=</t>
  </si>
  <si>
    <t>Adjusted S =</t>
  </si>
  <si>
    <t>T.Bond rate=</t>
  </si>
  <si>
    <t>Adjusted K =</t>
  </si>
  <si>
    <t>Variance=</t>
  </si>
  <si>
    <t>Expiration (in years) =</t>
  </si>
  <si>
    <t>Annualized dividend yield=</t>
  </si>
  <si>
    <t>Div. Adj. interest rate=</t>
  </si>
  <si>
    <t xml:space="preserve">d1 = </t>
  </si>
  <si>
    <t>N (d1) =</t>
  </si>
  <si>
    <t xml:space="preserve">d2 = </t>
  </si>
  <si>
    <t>N (d2) =</t>
  </si>
  <si>
    <t xml:space="preserve">Value per option = </t>
  </si>
  <si>
    <t>Value of all options outstanding =</t>
  </si>
  <si>
    <t>Fiscal year ends in December USD in thousands except per share data.</t>
  </si>
  <si>
    <t>Treasury with a Twist- All Outstanding Options</t>
  </si>
  <si>
    <t>Outstanding options</t>
  </si>
  <si>
    <t>In-the-money options</t>
  </si>
  <si>
    <t>Yeti Holdings Inc (NYS: YETI)</t>
  </si>
  <si>
    <t xml:space="preserve">Exchange rate used is that of the Year End reported date </t>
  </si>
  <si>
    <t xml:space="preserve">As Reported Annual Balance Sheet </t>
  </si>
  <si>
    <t>Report Date</t>
  </si>
  <si>
    <t>12/28/2019</t>
  </si>
  <si>
    <t>12/29/2018</t>
  </si>
  <si>
    <t>12/30/2017</t>
  </si>
  <si>
    <t>12/31/2016</t>
  </si>
  <si>
    <t>Currency</t>
  </si>
  <si>
    <t>USD</t>
  </si>
  <si>
    <t>Audit Status</t>
  </si>
  <si>
    <t>Not Qualified</t>
  </si>
  <si>
    <t>Not Available</t>
  </si>
  <si>
    <t>Consolidated</t>
  </si>
  <si>
    <t>Yes</t>
  </si>
  <si>
    <t>Scale</t>
  </si>
  <si>
    <t>Thousands</t>
  </si>
  <si>
    <t>Cash</t>
  </si>
  <si>
    <t>Accounts receivable, gross</t>
  </si>
  <si>
    <t>Allowance for doubtful accounts</t>
  </si>
  <si>
    <t>Accounts receivable, net</t>
  </si>
  <si>
    <t>Inventory</t>
  </si>
  <si>
    <t>Deposits</t>
  </si>
  <si>
    <t>-</t>
  </si>
  <si>
    <t>Production molds, tooling, &amp; equipment</t>
  </si>
  <si>
    <t>Furniture, fixtures, &amp; equipment</t>
  </si>
  <si>
    <t>Computer &amp; software</t>
  </si>
  <si>
    <t>Leasehold improvements</t>
  </si>
  <si>
    <t>Finance leases</t>
  </si>
  <si>
    <t>Property &amp; equipment, gross</t>
  </si>
  <si>
    <t>Less: accumulated depreciation</t>
  </si>
  <si>
    <t>Property &amp; equipment, net</t>
  </si>
  <si>
    <t>Operating lease right-of-use assets</t>
  </si>
  <si>
    <t>Deferred charges &amp; other assets</t>
  </si>
  <si>
    <t>Accrued freight &amp; other operating expenses</t>
  </si>
  <si>
    <t>Contract liabilities</t>
  </si>
  <si>
    <t>Customer discounts, allowances &amp; returns</t>
  </si>
  <si>
    <t>Advertising &amp; marketing</t>
  </si>
  <si>
    <t>Warranty reserve</t>
  </si>
  <si>
    <t>Interest payable</t>
  </si>
  <si>
    <t>Other accrued expenses &amp; other current liabilities</t>
  </si>
  <si>
    <t>Accrued expenses &amp; other current liabilities</t>
  </si>
  <si>
    <t>Accrued expenses</t>
  </si>
  <si>
    <t>Accrued payroll &amp; related costs</t>
  </si>
  <si>
    <t>Operating lease liabilities</t>
  </si>
  <si>
    <t>Taxes payable</t>
  </si>
  <si>
    <t>Current maturities of long-term debt</t>
  </si>
  <si>
    <t>Other current liabilities</t>
  </si>
  <si>
    <t>Revolving credit facility</t>
  </si>
  <si>
    <t>Term loan</t>
  </si>
  <si>
    <t>Finance lease debt</t>
  </si>
  <si>
    <t>Debt owed to Rambler On</t>
  </si>
  <si>
    <t>Current maturities of finance lease debt</t>
  </si>
  <si>
    <t>Total long-term debt</t>
  </si>
  <si>
    <t>Unamortized deferred financing fees</t>
  </si>
  <si>
    <t>Long-term debt, net of current portion</t>
  </si>
  <si>
    <t>Operating lease liabilities, non-current</t>
  </si>
  <si>
    <t>Other liabilities</t>
  </si>
  <si>
    <t>Accumulated other comprehensive income (loss)</t>
  </si>
  <si>
    <t>Total YETI Holdings, Inc. stockholders' deficit</t>
  </si>
  <si>
    <t>Non-controlling interests</t>
  </si>
  <si>
    <t>Total equity (deficit)</t>
  </si>
  <si>
    <t xml:space="preserve">As Reported Annual Income Statement </t>
  </si>
  <si>
    <t>12/31/2015</t>
  </si>
  <si>
    <t>Gross profit</t>
  </si>
  <si>
    <t>Selling, general, &amp; administrative expenses</t>
  </si>
  <si>
    <t>Operating income</t>
  </si>
  <si>
    <t>Interest expense</t>
  </si>
  <si>
    <t>Other income (expense)</t>
  </si>
  <si>
    <t>Income before income taxes - domestic</t>
  </si>
  <si>
    <t>Income before income taxes - foreign</t>
  </si>
  <si>
    <t>Income before income taxes</t>
  </si>
  <si>
    <t>Current federal income taxes</t>
  </si>
  <si>
    <t>Current state income taxes</t>
  </si>
  <si>
    <t>Current foreign income taxes</t>
  </si>
  <si>
    <t>Current income taxes</t>
  </si>
  <si>
    <t>Deferred federal income taxes</t>
  </si>
  <si>
    <t>Deferred state income taxes</t>
  </si>
  <si>
    <t>Deferred foreign income taxes</t>
  </si>
  <si>
    <t>Income tax expense</t>
  </si>
  <si>
    <t>Net income</t>
  </si>
  <si>
    <t>Net income attributable to noncontrolling interest</t>
  </si>
  <si>
    <t>Net income attributable to YETI Holdings, Inc.</t>
  </si>
  <si>
    <t>Weighted average shares outstanding - basic</t>
  </si>
  <si>
    <t>Weighted average shares outstanding - diluted</t>
  </si>
  <si>
    <t>Net earnings per share - basic</t>
  </si>
  <si>
    <t>Net earnings per share - diluted</t>
  </si>
  <si>
    <t>Total number of employees</t>
  </si>
  <si>
    <t>Number of common stockholders</t>
  </si>
  <si>
    <t>Foreign currency translation adjustments</t>
  </si>
  <si>
    <t xml:space="preserve">As Reported Annual Cash Flow </t>
  </si>
  <si>
    <t>Amortization of deferred financing fees</t>
  </si>
  <si>
    <t>Stock based compensation</t>
  </si>
  <si>
    <t>Impairment of long-lived assets</t>
  </si>
  <si>
    <t>Excess tax benefit from stock-based compensation plan</t>
  </si>
  <si>
    <t>Change in fair value of contingent consideration payable</t>
  </si>
  <si>
    <t>Loss on modification or extinguishment of debt</t>
  </si>
  <si>
    <t>Changes in operating assets &amp; liabilities</t>
  </si>
  <si>
    <t>Other current assets</t>
  </si>
  <si>
    <t>Accounts payable &amp; accrued expenses</t>
  </si>
  <si>
    <t>Other cash flow from operating activities</t>
  </si>
  <si>
    <t>Net cash flow from operating activities</t>
  </si>
  <si>
    <t>Purchases of property &amp; equipment</t>
  </si>
  <si>
    <t>Reductions (additions) to intangible assets</t>
  </si>
  <si>
    <t>Cash paid to Rambler On for acquisition</t>
  </si>
  <si>
    <t>Proceeds from sale of long-lived assets</t>
  </si>
  <si>
    <t>Cash of Rambler On at consolidation</t>
  </si>
  <si>
    <t>Other from investing activities</t>
  </si>
  <si>
    <t>Net cash (used in) flows from investing activities</t>
  </si>
  <si>
    <t>Proceeds from borrowings on term loan A in connection with amendment</t>
  </si>
  <si>
    <t>Repayments of term loan A in connection with amendment</t>
  </si>
  <si>
    <t>Changes in revolving line of credit</t>
  </si>
  <si>
    <t>Proceeds from issuance of long-term debt</t>
  </si>
  <si>
    <t>Repayments of long-term debt</t>
  </si>
  <si>
    <t>Payments of deferred financing fees</t>
  </si>
  <si>
    <t>Cash paid for repurchase of common stock</t>
  </si>
  <si>
    <t>Proceeds from employee exercise of stock options</t>
  </si>
  <si>
    <t>Taxes paid in connection with employee stock transactions</t>
  </si>
  <si>
    <t>Repurchase of forfeited employee stock options</t>
  </si>
  <si>
    <t>Proceeds from issuance of common shares</t>
  </si>
  <si>
    <t>Repayments of contingent consideration from acquisition</t>
  </si>
  <si>
    <t>Options dividends</t>
  </si>
  <si>
    <t>Finance lease principal payment</t>
  </si>
  <si>
    <t>Net cash (used in) flows from financing activities</t>
  </si>
  <si>
    <t>Changes related to acquisition of Rambler On</t>
  </si>
  <si>
    <t>Total noncash investing activities</t>
  </si>
  <si>
    <t>Effect of exchange rate changes on cash</t>
  </si>
  <si>
    <t>Net increase (decrease) in cash</t>
  </si>
  <si>
    <t>Cash, beginning of period</t>
  </si>
  <si>
    <t>Cash, end of period</t>
  </si>
  <si>
    <t>Interest paid</t>
  </si>
  <si>
    <t>Interest Coverage Ratio</t>
  </si>
  <si>
    <t>Default Spread</t>
  </si>
  <si>
    <t>CLAR</t>
  </si>
  <si>
    <t>ELY</t>
  </si>
  <si>
    <t>VSTO</t>
  </si>
  <si>
    <t>LULU</t>
  </si>
  <si>
    <t>Clarus Corp</t>
  </si>
  <si>
    <t>Callaway Golf Company</t>
  </si>
  <si>
    <t>Vista Outdoor Inc</t>
  </si>
  <si>
    <t>Lululemon Athletica Inc</t>
  </si>
  <si>
    <t>Unvested RSUs</t>
  </si>
  <si>
    <t>g</t>
  </si>
  <si>
    <t>Created by David Moore on 3/25/2020</t>
  </si>
  <si>
    <t>Scenario Summary</t>
  </si>
  <si>
    <t>Changing Cells:</t>
  </si>
  <si>
    <t>Current Values:</t>
  </si>
  <si>
    <t>Result Cells:</t>
  </si>
  <si>
    <t>Best_Case</t>
  </si>
  <si>
    <t>Worst_Case</t>
  </si>
  <si>
    <t>Implied Equity Value per Share (TV)</t>
  </si>
  <si>
    <t>Implied Equity Value per Share (EM)</t>
  </si>
  <si>
    <t>Sales Growth 2020</t>
  </si>
  <si>
    <t>Terminal Growth rate</t>
  </si>
  <si>
    <t>Terminal Exit Multiple</t>
  </si>
  <si>
    <t>Equity Risk Premium</t>
  </si>
  <si>
    <t xml:space="preserve">***Note: This should likely be set equal to our diluted shares oustanding from above.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</si>
</sst>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_);\(0.0%\)"/>
    <numFmt numFmtId="166" formatCode="#,##0.0_);\(#,##0.0\)"/>
    <numFmt numFmtId="167" formatCode="0&quot;A&quot;"/>
    <numFmt numFmtId="168" formatCode="0&quot;E&quot;"/>
    <numFmt numFmtId="169" formatCode="[$-409]d\-mmm\-yy;@"/>
    <numFmt numFmtId="170" formatCode="0.0%"/>
    <numFmt numFmtId="171" formatCode="#,##0.0000"/>
    <numFmt numFmtId="172" formatCode="_(#,##0_);\(#,##0\)"/>
    <numFmt numFmtId="173" formatCode="_(&quot;$&quot;* #,##0_);_(&quot;$&quot;* \(#,##0\);_(&quot;$&quot;* &quot;-&quot;??_);_(@_)"/>
    <numFmt numFmtId="174" formatCode="_(0.0%_);\(0.0%\)"/>
    <numFmt numFmtId="175" formatCode="_(0.0\x_);\(0.0\x\)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theme="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Times"/>
      <family val="1"/>
    </font>
    <font>
      <b/>
      <sz val="14"/>
      <name val="Geneva"/>
      <family val="2"/>
    </font>
    <font>
      <sz val="10"/>
      <name val="Times"/>
      <family val="1"/>
    </font>
    <font>
      <sz val="10"/>
      <color theme="4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0"/>
      <name val="Geneva"/>
      <family val="2"/>
    </font>
    <font>
      <b/>
      <sz val="10"/>
      <name val="Times"/>
      <family val="1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9"/>
      <name val="Arial"/>
      <family val="2"/>
    </font>
    <font>
      <sz val="10"/>
      <color theme="4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 applyFill="0"/>
    <xf numFmtId="0" fontId="4" fillId="0" borderId="0"/>
    <xf numFmtId="0" fontId="3" fillId="0" borderId="0"/>
    <xf numFmtId="0" fontId="14" fillId="0" borderId="0" applyFill="0"/>
    <xf numFmtId="0" fontId="2" fillId="0" borderId="0"/>
    <xf numFmtId="0" fontId="2" fillId="0" borderId="0"/>
    <xf numFmtId="0" fontId="1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7" fillId="0" borderId="0"/>
  </cellStyleXfs>
  <cellXfs count="190">
    <xf numFmtId="0" fontId="0" fillId="0" borderId="0" xfId="0"/>
    <xf numFmtId="0" fontId="5" fillId="0" borderId="0" xfId="1" applyFont="1"/>
    <xf numFmtId="0" fontId="8" fillId="0" borderId="0" xfId="1" applyFont="1"/>
    <xf numFmtId="0" fontId="11" fillId="2" borderId="0" xfId="1" applyFont="1" applyFill="1" applyAlignment="1">
      <alignment horizontal="centerContinuous"/>
    </xf>
    <xf numFmtId="0" fontId="12" fillId="2" borderId="0" xfId="1" applyFont="1" applyFill="1" applyAlignment="1">
      <alignment horizontal="centerContinuous"/>
    </xf>
    <xf numFmtId="165" fontId="5" fillId="0" borderId="0" xfId="1" applyNumberFormat="1" applyFont="1"/>
    <xf numFmtId="0" fontId="5" fillId="0" borderId="2" xfId="1" applyFont="1" applyBorder="1"/>
    <xf numFmtId="0" fontId="5" fillId="0" borderId="4" xfId="1" applyFont="1" applyBorder="1"/>
    <xf numFmtId="0" fontId="5" fillId="0" borderId="0" xfId="1" applyFont="1" applyBorder="1"/>
    <xf numFmtId="0" fontId="5" fillId="0" borderId="6" xfId="1" applyFont="1" applyBorder="1"/>
    <xf numFmtId="0" fontId="5" fillId="0" borderId="7" xfId="1" applyFont="1" applyBorder="1"/>
    <xf numFmtId="0" fontId="5" fillId="0" borderId="8" xfId="1" applyFont="1" applyBorder="1"/>
    <xf numFmtId="0" fontId="8" fillId="0" borderId="9" xfId="1" applyFont="1" applyBorder="1"/>
    <xf numFmtId="165" fontId="5" fillId="0" borderId="5" xfId="1" applyNumberFormat="1" applyFont="1" applyBorder="1"/>
    <xf numFmtId="0" fontId="8" fillId="0" borderId="0" xfId="1" applyFont="1" applyAlignment="1">
      <alignment horizontal="center"/>
    </xf>
    <xf numFmtId="0" fontId="8" fillId="0" borderId="7" xfId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0" fontId="8" fillId="0" borderId="10" xfId="1" applyFont="1" applyBorder="1" applyAlignment="1">
      <alignment horizontal="centerContinuous"/>
    </xf>
    <xf numFmtId="0" fontId="8" fillId="0" borderId="1" xfId="1" applyFont="1" applyBorder="1" applyAlignment="1">
      <alignment horizontal="centerContinuous"/>
    </xf>
    <xf numFmtId="0" fontId="8" fillId="0" borderId="11" xfId="1" applyFont="1" applyBorder="1" applyAlignment="1">
      <alignment horizontal="centerContinuous"/>
    </xf>
    <xf numFmtId="164" fontId="5" fillId="0" borderId="0" xfId="1" applyNumberFormat="1" applyFont="1"/>
    <xf numFmtId="0" fontId="8" fillId="0" borderId="0" xfId="1" applyFont="1" applyBorder="1"/>
    <xf numFmtId="5" fontId="5" fillId="0" borderId="0" xfId="1" applyNumberFormat="1" applyFont="1"/>
    <xf numFmtId="9" fontId="5" fillId="0" borderId="0" xfId="1" applyNumberFormat="1" applyFont="1"/>
    <xf numFmtId="0" fontId="6" fillId="0" borderId="0" xfId="1" applyFont="1" applyAlignment="1">
      <alignment horizontal="center"/>
    </xf>
    <xf numFmtId="166" fontId="10" fillId="0" borderId="0" xfId="1" applyNumberFormat="1" applyFont="1"/>
    <xf numFmtId="0" fontId="5" fillId="0" borderId="0" xfId="1" applyFont="1" applyFill="1" applyBorder="1"/>
    <xf numFmtId="9" fontId="9" fillId="0" borderId="0" xfId="1" applyNumberFormat="1" applyFont="1" applyBorder="1"/>
    <xf numFmtId="0" fontId="8" fillId="0" borderId="8" xfId="1" applyFont="1" applyBorder="1"/>
    <xf numFmtId="168" fontId="8" fillId="0" borderId="8" xfId="1" applyNumberFormat="1" applyFont="1" applyBorder="1" applyAlignment="1">
      <alignment horizontal="center"/>
    </xf>
    <xf numFmtId="167" fontId="8" fillId="0" borderId="7" xfId="1" applyNumberFormat="1" applyFont="1" applyBorder="1" applyAlignment="1">
      <alignment horizontal="center"/>
    </xf>
    <xf numFmtId="167" fontId="8" fillId="0" borderId="8" xfId="1" applyNumberFormat="1" applyFont="1" applyBorder="1" applyAlignment="1">
      <alignment horizontal="center"/>
    </xf>
    <xf numFmtId="167" fontId="7" fillId="0" borderId="8" xfId="1" applyNumberFormat="1" applyFont="1" applyBorder="1" applyAlignment="1">
      <alignment horizontal="center"/>
    </xf>
    <xf numFmtId="0" fontId="13" fillId="0" borderId="0" xfId="1" applyFont="1"/>
    <xf numFmtId="0" fontId="14" fillId="0" borderId="0" xfId="0" applyFont="1" applyFill="1"/>
    <xf numFmtId="0" fontId="0" fillId="0" borderId="0" xfId="0" applyFill="1"/>
    <xf numFmtId="0" fontId="12" fillId="2" borderId="0" xfId="2" applyFont="1" applyFill="1" applyAlignment="1">
      <alignment horizontal="centerContinuous"/>
    </xf>
    <xf numFmtId="0" fontId="11" fillId="2" borderId="0" xfId="2" applyFont="1" applyFill="1" applyAlignment="1">
      <alignment horizontal="centerContinuous"/>
    </xf>
    <xf numFmtId="0" fontId="5" fillId="0" borderId="0" xfId="2" applyFont="1" applyBorder="1"/>
    <xf numFmtId="0" fontId="5" fillId="0" borderId="8" xfId="2" applyFont="1" applyBorder="1"/>
    <xf numFmtId="0" fontId="8" fillId="0" borderId="9" xfId="2" applyFont="1" applyBorder="1"/>
    <xf numFmtId="0" fontId="5" fillId="0" borderId="6" xfId="2" applyFont="1" applyBorder="1"/>
    <xf numFmtId="0" fontId="5" fillId="0" borderId="4" xfId="2" applyFont="1" applyBorder="1"/>
    <xf numFmtId="0" fontId="5" fillId="0" borderId="2" xfId="2" applyFont="1" applyBorder="1"/>
    <xf numFmtId="164" fontId="5" fillId="0" borderId="3" xfId="2" applyNumberFormat="1" applyFont="1" applyBorder="1"/>
    <xf numFmtId="0" fontId="12" fillId="0" borderId="0" xfId="1" applyFont="1" applyFill="1" applyAlignment="1">
      <alignment horizontal="centerContinuous"/>
    </xf>
    <xf numFmtId="0" fontId="11" fillId="0" borderId="0" xfId="1" applyFont="1" applyFill="1" applyAlignment="1">
      <alignment horizontal="centerContinuous"/>
    </xf>
    <xf numFmtId="0" fontId="8" fillId="0" borderId="0" xfId="0" applyFont="1"/>
    <xf numFmtId="0" fontId="5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Border="1"/>
    <xf numFmtId="16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6" fontId="9" fillId="0" borderId="0" xfId="0" applyNumberFormat="1" applyFont="1"/>
    <xf numFmtId="170" fontId="5" fillId="0" borderId="0" xfId="0" applyNumberFormat="1" applyFont="1"/>
    <xf numFmtId="39" fontId="9" fillId="0" borderId="0" xfId="0" applyNumberFormat="1" applyFont="1" applyFill="1"/>
    <xf numFmtId="39" fontId="5" fillId="0" borderId="0" xfId="0" applyNumberFormat="1" applyFont="1"/>
    <xf numFmtId="170" fontId="10" fillId="0" borderId="0" xfId="0" applyNumberFormat="1" applyFont="1"/>
    <xf numFmtId="39" fontId="8" fillId="0" borderId="0" xfId="0" applyNumberFormat="1" applyFont="1"/>
    <xf numFmtId="166" fontId="9" fillId="0" borderId="0" xfId="0" applyNumberFormat="1" applyFont="1" applyFill="1"/>
    <xf numFmtId="166" fontId="5" fillId="0" borderId="0" xfId="0" applyNumberFormat="1" applyFont="1"/>
    <xf numFmtId="2" fontId="5" fillId="0" borderId="0" xfId="0" applyNumberFormat="1" applyFont="1"/>
    <xf numFmtId="0" fontId="5" fillId="0" borderId="5" xfId="1" applyFont="1" applyBorder="1"/>
    <xf numFmtId="0" fontId="5" fillId="0" borderId="0" xfId="1" applyFont="1" applyAlignment="1">
      <alignment horizontal="right"/>
    </xf>
    <xf numFmtId="39" fontId="5" fillId="0" borderId="0" xfId="1" applyNumberFormat="1" applyFont="1"/>
    <xf numFmtId="10" fontId="5" fillId="0" borderId="0" xfId="1" applyNumberFormat="1" applyFont="1"/>
    <xf numFmtId="0" fontId="0" fillId="0" borderId="5" xfId="0" applyBorder="1"/>
    <xf numFmtId="0" fontId="19" fillId="0" borderId="0" xfId="3" applyFont="1"/>
    <xf numFmtId="0" fontId="20" fillId="0" borderId="0" xfId="3" applyFont="1"/>
    <xf numFmtId="0" fontId="21" fillId="0" borderId="0" xfId="3" applyFont="1"/>
    <xf numFmtId="0" fontId="14" fillId="0" borderId="0" xfId="3"/>
    <xf numFmtId="8" fontId="21" fillId="0" borderId="13" xfId="3" applyNumberFormat="1" applyFont="1" applyFill="1" applyBorder="1"/>
    <xf numFmtId="44" fontId="22" fillId="0" borderId="13" xfId="7" applyFont="1" applyFill="1" applyBorder="1"/>
    <xf numFmtId="2" fontId="22" fillId="0" borderId="13" xfId="3" applyNumberFormat="1" applyFont="1" applyFill="1" applyBorder="1"/>
    <xf numFmtId="10" fontId="22" fillId="0" borderId="13" xfId="8" applyNumberFormat="1" applyFont="1" applyFill="1" applyBorder="1"/>
    <xf numFmtId="10" fontId="22" fillId="0" borderId="13" xfId="3" applyNumberFormat="1" applyFont="1" applyFill="1" applyBorder="1"/>
    <xf numFmtId="4" fontId="21" fillId="0" borderId="13" xfId="3" applyNumberFormat="1" applyFont="1" applyFill="1" applyBorder="1"/>
    <xf numFmtId="4" fontId="21" fillId="0" borderId="0" xfId="3" applyNumberFormat="1" applyFont="1" applyFill="1"/>
    <xf numFmtId="0" fontId="21" fillId="0" borderId="13" xfId="3" applyFont="1" applyBorder="1"/>
    <xf numFmtId="0" fontId="23" fillId="0" borderId="0" xfId="3" applyFont="1"/>
    <xf numFmtId="0" fontId="24" fillId="0" borderId="0" xfId="3" applyFont="1"/>
    <xf numFmtId="0" fontId="25" fillId="0" borderId="0" xfId="3" applyFont="1"/>
    <xf numFmtId="0" fontId="26" fillId="0" borderId="0" xfId="3" applyFont="1"/>
    <xf numFmtId="0" fontId="26" fillId="0" borderId="13" xfId="3" applyFont="1" applyBorder="1"/>
    <xf numFmtId="10" fontId="26" fillId="0" borderId="0" xfId="3" applyNumberFormat="1" applyFont="1"/>
    <xf numFmtId="3" fontId="21" fillId="0" borderId="13" xfId="3" applyNumberFormat="1" applyFont="1" applyBorder="1"/>
    <xf numFmtId="10" fontId="26" fillId="0" borderId="13" xfId="3" applyNumberFormat="1" applyFont="1" applyBorder="1"/>
    <xf numFmtId="171" fontId="26" fillId="0" borderId="13" xfId="9" applyNumberFormat="1" applyFont="1" applyBorder="1"/>
    <xf numFmtId="10" fontId="21" fillId="0" borderId="13" xfId="3" applyNumberFormat="1" applyFont="1" applyBorder="1"/>
    <xf numFmtId="44" fontId="21" fillId="0" borderId="14" xfId="7" applyFont="1" applyBorder="1"/>
    <xf numFmtId="44" fontId="21" fillId="0" borderId="0" xfId="7" applyFont="1"/>
    <xf numFmtId="8" fontId="21" fillId="0" borderId="14" xfId="3" applyNumberFormat="1" applyFont="1" applyBorder="1"/>
    <xf numFmtId="0" fontId="5" fillId="0" borderId="9" xfId="1" applyFont="1" applyBorder="1"/>
    <xf numFmtId="0" fontId="5" fillId="0" borderId="7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14" fontId="5" fillId="0" borderId="3" xfId="1" applyNumberFormat="1" applyFont="1" applyBorder="1" applyAlignment="1">
      <alignment horizontal="left"/>
    </xf>
    <xf numFmtId="0" fontId="28" fillId="0" borderId="0" xfId="10" applyFont="1" applyAlignment="1">
      <alignment horizontal="left"/>
    </xf>
    <xf numFmtId="0" fontId="27" fillId="0" borderId="0" xfId="10"/>
    <xf numFmtId="0" fontId="27" fillId="0" borderId="0" xfId="10" applyAlignment="1">
      <alignment horizontal="left" vertical="top" wrapText="1"/>
    </xf>
    <xf numFmtId="0" fontId="29" fillId="0" borderId="0" xfId="10" applyFont="1" applyAlignment="1">
      <alignment vertical="top" wrapText="1"/>
    </xf>
    <xf numFmtId="0" fontId="29" fillId="0" borderId="0" xfId="10" applyFont="1" applyAlignment="1">
      <alignment horizontal="left" vertical="top"/>
    </xf>
    <xf numFmtId="0" fontId="27" fillId="0" borderId="0" xfId="10" applyAlignment="1">
      <alignment horizontal="left"/>
    </xf>
    <xf numFmtId="1" fontId="27" fillId="0" borderId="0" xfId="10" applyNumberFormat="1"/>
    <xf numFmtId="0" fontId="27" fillId="0" borderId="0" xfId="10" applyAlignment="1">
      <alignment horizontal="right"/>
    </xf>
    <xf numFmtId="0" fontId="29" fillId="0" borderId="0" xfId="10" applyFont="1" applyAlignment="1">
      <alignment horizontal="right" vertical="top"/>
    </xf>
    <xf numFmtId="2" fontId="27" fillId="0" borderId="0" xfId="10" applyNumberFormat="1"/>
    <xf numFmtId="172" fontId="0" fillId="0" borderId="0" xfId="0" applyNumberFormat="1"/>
    <xf numFmtId="173" fontId="0" fillId="0" borderId="0" xfId="0" applyNumberFormat="1"/>
    <xf numFmtId="173" fontId="30" fillId="0" borderId="0" xfId="0" applyNumberFormat="1" applyFont="1"/>
    <xf numFmtId="172" fontId="30" fillId="0" borderId="0" xfId="0" applyNumberFormat="1" applyFont="1"/>
    <xf numFmtId="172" fontId="30" fillId="0" borderId="2" xfId="0" applyNumberFormat="1" applyFont="1" applyBorder="1"/>
    <xf numFmtId="173" fontId="30" fillId="0" borderId="5" xfId="0" applyNumberFormat="1" applyFont="1" applyBorder="1"/>
    <xf numFmtId="172" fontId="30" fillId="0" borderId="5" xfId="0" applyNumberFormat="1" applyFont="1" applyBorder="1"/>
    <xf numFmtId="172" fontId="0" fillId="0" borderId="5" xfId="0" applyNumberFormat="1" applyBorder="1"/>
    <xf numFmtId="172" fontId="30" fillId="0" borderId="3" xfId="0" applyNumberFormat="1" applyFont="1" applyBorder="1"/>
    <xf numFmtId="172" fontId="0" fillId="0" borderId="2" xfId="0" applyNumberFormat="1" applyBorder="1"/>
    <xf numFmtId="172" fontId="0" fillId="0" borderId="7" xfId="0" applyNumberFormat="1" applyBorder="1"/>
    <xf numFmtId="172" fontId="0" fillId="0" borderId="3" xfId="0" applyNumberFormat="1" applyBorder="1"/>
    <xf numFmtId="170" fontId="0" fillId="0" borderId="0" xfId="0" applyNumberFormat="1"/>
    <xf numFmtId="170" fontId="0" fillId="0" borderId="5" xfId="0" applyNumberFormat="1" applyBorder="1"/>
    <xf numFmtId="174" fontId="0" fillId="0" borderId="0" xfId="0" applyNumberFormat="1"/>
    <xf numFmtId="174" fontId="0" fillId="0" borderId="5" xfId="0" applyNumberFormat="1" applyBorder="1"/>
    <xf numFmtId="174" fontId="31" fillId="0" borderId="0" xfId="0" applyNumberFormat="1" applyFont="1"/>
    <xf numFmtId="0" fontId="5" fillId="0" borderId="1" xfId="1" applyFont="1" applyBorder="1" applyAlignment="1">
      <alignment horizontal="centerContinuous"/>
    </xf>
    <xf numFmtId="0" fontId="5" fillId="0" borderId="10" xfId="1" applyFont="1" applyBorder="1" applyAlignment="1">
      <alignment horizontal="centerContinuous"/>
    </xf>
    <xf numFmtId="172" fontId="0" fillId="0" borderId="0" xfId="0" applyNumberFormat="1" applyBorder="1"/>
    <xf numFmtId="172" fontId="0" fillId="0" borderId="4" xfId="0" applyNumberFormat="1" applyBorder="1"/>
    <xf numFmtId="174" fontId="31" fillId="0" borderId="0" xfId="0" applyNumberFormat="1" applyFont="1" applyBorder="1"/>
    <xf numFmtId="174" fontId="0" fillId="0" borderId="0" xfId="0" applyNumberFormat="1" applyBorder="1"/>
    <xf numFmtId="173" fontId="0" fillId="0" borderId="5" xfId="0" applyNumberFormat="1" applyBorder="1"/>
    <xf numFmtId="173" fontId="14" fillId="0" borderId="0" xfId="0" applyNumberFormat="1" applyFont="1"/>
    <xf numFmtId="173" fontId="14" fillId="0" borderId="5" xfId="0" applyNumberFormat="1" applyFont="1" applyBorder="1"/>
    <xf numFmtId="173" fontId="14" fillId="0" borderId="0" xfId="0" applyNumberFormat="1" applyFont="1" applyBorder="1"/>
    <xf numFmtId="173" fontId="15" fillId="0" borderId="0" xfId="0" applyNumberFormat="1" applyFont="1"/>
    <xf numFmtId="173" fontId="15" fillId="0" borderId="5" xfId="0" applyNumberFormat="1" applyFont="1" applyBorder="1"/>
    <xf numFmtId="170" fontId="5" fillId="0" borderId="5" xfId="1" applyNumberFormat="1" applyFont="1" applyBorder="1"/>
    <xf numFmtId="173" fontId="5" fillId="0" borderId="5" xfId="1" applyNumberFormat="1" applyFont="1" applyBorder="1"/>
    <xf numFmtId="37" fontId="0" fillId="0" borderId="5" xfId="0" applyNumberFormat="1" applyBorder="1"/>
    <xf numFmtId="37" fontId="5" fillId="0" borderId="5" xfId="1" applyNumberFormat="1" applyFont="1" applyBorder="1"/>
    <xf numFmtId="44" fontId="5" fillId="0" borderId="3" xfId="1" applyNumberFormat="1" applyFont="1" applyBorder="1"/>
    <xf numFmtId="8" fontId="0" fillId="0" borderId="5" xfId="0" applyNumberFormat="1" applyBorder="1"/>
    <xf numFmtId="6" fontId="0" fillId="0" borderId="5" xfId="0" applyNumberFormat="1" applyBorder="1"/>
    <xf numFmtId="44" fontId="0" fillId="0" borderId="3" xfId="0" applyNumberFormat="1" applyBorder="1"/>
    <xf numFmtId="44" fontId="26" fillId="0" borderId="13" xfId="3" applyNumberFormat="1" applyFont="1" applyBorder="1"/>
    <xf numFmtId="8" fontId="0" fillId="0" borderId="3" xfId="0" applyNumberFormat="1" applyBorder="1"/>
    <xf numFmtId="170" fontId="5" fillId="0" borderId="0" xfId="1" applyNumberFormat="1" applyFont="1"/>
    <xf numFmtId="8" fontId="10" fillId="0" borderId="0" xfId="1" applyNumberFormat="1" applyFont="1"/>
    <xf numFmtId="8" fontId="10" fillId="0" borderId="0" xfId="0" applyNumberFormat="1" applyFont="1" applyFill="1"/>
    <xf numFmtId="0" fontId="0" fillId="0" borderId="0" xfId="0" applyFill="1" applyBorder="1" applyAlignment="1"/>
    <xf numFmtId="174" fontId="0" fillId="0" borderId="0" xfId="0" applyNumberFormat="1" applyFill="1" applyBorder="1" applyAlignment="1"/>
    <xf numFmtId="170" fontId="0" fillId="0" borderId="0" xfId="0" applyNumberFormat="1" applyFill="1" applyBorder="1" applyAlignment="1"/>
    <xf numFmtId="0" fontId="32" fillId="3" borderId="2" xfId="0" applyFont="1" applyFill="1" applyBorder="1" applyAlignment="1">
      <alignment horizontal="left"/>
    </xf>
    <xf numFmtId="0" fontId="32" fillId="3" borderId="15" xfId="0" applyFont="1" applyFill="1" applyBorder="1" applyAlignment="1">
      <alignment horizontal="left"/>
    </xf>
    <xf numFmtId="0" fontId="0" fillId="0" borderId="1" xfId="0" applyFill="1" applyBorder="1" applyAlignment="1"/>
    <xf numFmtId="0" fontId="33" fillId="4" borderId="0" xfId="0" applyFont="1" applyFill="1" applyBorder="1" applyAlignment="1">
      <alignment horizontal="left"/>
    </xf>
    <xf numFmtId="0" fontId="34" fillId="4" borderId="1" xfId="0" applyFont="1" applyFill="1" applyBorder="1" applyAlignment="1">
      <alignment horizontal="left"/>
    </xf>
    <xf numFmtId="0" fontId="33" fillId="4" borderId="12" xfId="0" applyFont="1" applyFill="1" applyBorder="1" applyAlignment="1">
      <alignment horizontal="left"/>
    </xf>
    <xf numFmtId="0" fontId="35" fillId="3" borderId="15" xfId="0" applyFont="1" applyFill="1" applyBorder="1" applyAlignment="1">
      <alignment horizontal="right"/>
    </xf>
    <xf numFmtId="0" fontId="35" fillId="3" borderId="2" xfId="0" applyFont="1" applyFill="1" applyBorder="1" applyAlignment="1">
      <alignment horizontal="right"/>
    </xf>
    <xf numFmtId="174" fontId="0" fillId="5" borderId="0" xfId="0" applyNumberFormat="1" applyFill="1" applyBorder="1" applyAlignment="1"/>
    <xf numFmtId="170" fontId="0" fillId="5" borderId="0" xfId="0" applyNumberFormat="1" applyFill="1" applyBorder="1" applyAlignment="1"/>
    <xf numFmtId="0" fontId="36" fillId="0" borderId="0" xfId="0" applyFont="1" applyFill="1" applyBorder="1" applyAlignment="1">
      <alignment vertical="top" wrapText="1"/>
    </xf>
    <xf numFmtId="44" fontId="0" fillId="0" borderId="12" xfId="0" applyNumberFormat="1" applyFill="1" applyBorder="1" applyAlignment="1"/>
    <xf numFmtId="37" fontId="31" fillId="0" borderId="5" xfId="0" applyNumberFormat="1" applyFont="1" applyBorder="1"/>
    <xf numFmtId="8" fontId="31" fillId="0" borderId="5" xfId="0" applyNumberFormat="1" applyFont="1" applyBorder="1"/>
    <xf numFmtId="8" fontId="31" fillId="0" borderId="0" xfId="0" applyNumberFormat="1" applyFont="1"/>
    <xf numFmtId="172" fontId="31" fillId="0" borderId="0" xfId="0" applyNumberFormat="1" applyFont="1"/>
    <xf numFmtId="170" fontId="31" fillId="0" borderId="0" xfId="0" applyNumberFormat="1" applyFont="1"/>
    <xf numFmtId="0" fontId="10" fillId="0" borderId="0" xfId="1" applyFont="1"/>
    <xf numFmtId="0" fontId="10" fillId="0" borderId="8" xfId="2" applyFont="1" applyBorder="1"/>
    <xf numFmtId="0" fontId="10" fillId="0" borderId="7" xfId="2" applyFont="1" applyBorder="1"/>
    <xf numFmtId="0" fontId="6" fillId="0" borderId="9" xfId="2" applyFont="1" applyBorder="1"/>
    <xf numFmtId="0" fontId="10" fillId="0" borderId="0" xfId="2" applyFont="1" applyBorder="1"/>
    <xf numFmtId="37" fontId="14" fillId="0" borderId="5" xfId="0" applyNumberFormat="1" applyFont="1" applyBorder="1"/>
    <xf numFmtId="0" fontId="10" fillId="0" borderId="6" xfId="2" applyFont="1" applyBorder="1"/>
    <xf numFmtId="0" fontId="14" fillId="0" borderId="5" xfId="0" applyFont="1" applyBorder="1"/>
    <xf numFmtId="6" fontId="14" fillId="0" borderId="5" xfId="0" applyNumberFormat="1" applyFont="1" applyBorder="1"/>
    <xf numFmtId="0" fontId="14" fillId="0" borderId="0" xfId="0" applyFont="1"/>
    <xf numFmtId="6" fontId="14" fillId="0" borderId="0" xfId="0" applyNumberFormat="1" applyFont="1"/>
    <xf numFmtId="170" fontId="14" fillId="0" borderId="0" xfId="0" applyNumberFormat="1" applyFont="1"/>
    <xf numFmtId="2" fontId="14" fillId="0" borderId="0" xfId="0" applyNumberFormat="1" applyFont="1"/>
    <xf numFmtId="39" fontId="14" fillId="0" borderId="0" xfId="0" applyNumberFormat="1" applyFont="1"/>
    <xf numFmtId="175" fontId="0" fillId="0" borderId="0" xfId="0" applyNumberFormat="1" applyFill="1" applyBorder="1" applyAlignment="1"/>
    <xf numFmtId="44" fontId="0" fillId="0" borderId="0" xfId="0" applyNumberFormat="1" applyFill="1" applyBorder="1" applyAlignment="1"/>
    <xf numFmtId="175" fontId="0" fillId="5" borderId="0" xfId="0" applyNumberFormat="1" applyFill="1" applyBorder="1" applyAlignment="1"/>
    <xf numFmtId="39" fontId="0" fillId="0" borderId="0" xfId="0" applyNumberFormat="1" applyFill="1" applyBorder="1" applyAlignment="1"/>
    <xf numFmtId="39" fontId="0" fillId="5" borderId="0" xfId="0" applyNumberFormat="1" applyFill="1" applyBorder="1" applyAlignment="1"/>
    <xf numFmtId="170" fontId="16" fillId="0" borderId="5" xfId="1" applyNumberFormat="1" applyFont="1" applyBorder="1"/>
    <xf numFmtId="175" fontId="31" fillId="0" borderId="5" xfId="0" applyNumberFormat="1" applyFont="1" applyBorder="1"/>
  </cellXfs>
  <cellStyles count="11">
    <cellStyle name="Comma 2" xfId="9" xr:uid="{BEEF42EE-3822-430B-8CD4-E84E38613B44}"/>
    <cellStyle name="Currency 2" xfId="7" xr:uid="{5D2E19F6-1BF3-404B-A829-5437D5C5C2C5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D4D91A9-FD9E-4720-91BC-94138A901B93}"/>
    <cellStyle name="Normal 5" xfId="5" xr:uid="{CA7F746B-C89E-42CC-8570-09C22B7420F1}"/>
    <cellStyle name="Normal 6" xfId="6" xr:uid="{DDD9159D-EFD4-42A1-BCFD-047FDADEC34F}"/>
    <cellStyle name="Normal 7" xfId="10" xr:uid="{A3E6DE50-96AB-4835-9C94-C9FFDA82A583}"/>
    <cellStyle name="Percent 2" xfId="8" xr:uid="{AB810157-BB0D-40E3-8006-BD95762523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>
        <row r="8">
          <cell r="F8" t="str">
            <v>Low</v>
          </cell>
        </row>
      </sheetData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"/>
  <dimension ref="A2:V163"/>
  <sheetViews>
    <sheetView showGridLines="0" tabSelected="1" topLeftCell="A61" zoomScale="85" zoomScaleNormal="85" workbookViewId="0">
      <selection activeCell="H101" sqref="H101"/>
    </sheetView>
  </sheetViews>
  <sheetFormatPr defaultColWidth="9.1796875" defaultRowHeight="14" outlineLevelRow="1"/>
  <cols>
    <col min="1" max="1" width="3.81640625" style="1" customWidth="1"/>
    <col min="2" max="2" width="30.7265625" style="1" customWidth="1"/>
    <col min="3" max="3" width="16.453125" style="1" customWidth="1"/>
    <col min="4" max="4" width="8.54296875" style="1" customWidth="1"/>
    <col min="5" max="5" width="9.7265625" style="1" customWidth="1"/>
    <col min="6" max="6" width="20.1796875" style="1" bestFit="1" customWidth="1"/>
    <col min="7" max="7" width="9.81640625" style="1" customWidth="1"/>
    <col min="8" max="8" width="13.6328125" style="1" bestFit="1" customWidth="1"/>
    <col min="9" max="9" width="10.54296875" style="1" customWidth="1"/>
    <col min="10" max="10" width="9.54296875" style="1" customWidth="1"/>
    <col min="11" max="11" width="11.81640625" style="1" customWidth="1"/>
    <col min="12" max="13" width="11.1796875" style="1" bestFit="1" customWidth="1"/>
    <col min="14" max="14" width="15.1796875" style="1" bestFit="1" customWidth="1"/>
    <col min="15" max="18" width="11.1796875" style="1" bestFit="1" customWidth="1"/>
    <col min="19" max="19" width="11.54296875" style="1" bestFit="1" customWidth="1"/>
    <col min="20" max="16384" width="9.1796875" style="1"/>
  </cols>
  <sheetData>
    <row r="2" spans="1:18">
      <c r="B2" s="93" t="s">
        <v>104</v>
      </c>
      <c r="C2" s="94" t="s">
        <v>105</v>
      </c>
    </row>
    <row r="3" spans="1:18">
      <c r="B3" s="9" t="s">
        <v>103</v>
      </c>
      <c r="C3" s="95" t="s">
        <v>107</v>
      </c>
    </row>
    <row r="4" spans="1:18">
      <c r="B4" s="7" t="s">
        <v>106</v>
      </c>
      <c r="C4" s="96">
        <v>43915</v>
      </c>
    </row>
    <row r="6" spans="1:18">
      <c r="B6" s="2" t="str">
        <f>C2&amp;" ("&amp;C3&amp;") DISCOUNTED CASH FLOWS MODEL"</f>
        <v>Yeti Holdings Inc (YETI) DISCOUNTED CASH FLOWS MODEL</v>
      </c>
    </row>
    <row r="7" spans="1:18">
      <c r="B7" s="33" t="s">
        <v>139</v>
      </c>
      <c r="D7" s="33"/>
      <c r="E7" s="33"/>
    </row>
    <row r="8" spans="1:18">
      <c r="B8" s="33"/>
      <c r="D8" s="33"/>
      <c r="E8" s="33"/>
    </row>
    <row r="9" spans="1:18">
      <c r="A9" s="1" t="s">
        <v>92</v>
      </c>
      <c r="B9" s="4" t="s">
        <v>43</v>
      </c>
      <c r="C9" s="3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8">
      <c r="C10" s="33"/>
      <c r="D10" s="33"/>
      <c r="E10" s="33"/>
    </row>
    <row r="11" spans="1:18">
      <c r="B11" s="33"/>
      <c r="C11" s="33"/>
      <c r="D11" s="33"/>
      <c r="E11" s="33"/>
      <c r="F11" s="19" t="s">
        <v>8</v>
      </c>
      <c r="G11" s="18"/>
      <c r="H11" s="18"/>
      <c r="I11" s="18"/>
      <c r="J11" s="17"/>
      <c r="K11" s="19" t="s">
        <v>7</v>
      </c>
      <c r="L11" s="18"/>
      <c r="M11" s="18"/>
      <c r="N11" s="18"/>
      <c r="O11" s="17"/>
      <c r="P11" s="124"/>
      <c r="Q11" s="124"/>
      <c r="R11" s="125"/>
    </row>
    <row r="12" spans="1:18">
      <c r="B12" s="33"/>
      <c r="C12" s="33"/>
      <c r="D12" s="33"/>
      <c r="E12" s="33"/>
      <c r="F12" s="32">
        <v>2015</v>
      </c>
      <c r="G12" s="31">
        <f t="shared" ref="G12:O12" si="0">F12+1</f>
        <v>2016</v>
      </c>
      <c r="H12" s="31">
        <f t="shared" si="0"/>
        <v>2017</v>
      </c>
      <c r="I12" s="31">
        <f t="shared" si="0"/>
        <v>2018</v>
      </c>
      <c r="J12" s="30">
        <f t="shared" si="0"/>
        <v>2019</v>
      </c>
      <c r="K12" s="29">
        <f t="shared" si="0"/>
        <v>2020</v>
      </c>
      <c r="L12" s="29">
        <f t="shared" si="0"/>
        <v>2021</v>
      </c>
      <c r="M12" s="29">
        <f t="shared" si="0"/>
        <v>2022</v>
      </c>
      <c r="N12" s="29">
        <f t="shared" si="0"/>
        <v>2023</v>
      </c>
      <c r="O12" s="29">
        <f t="shared" si="0"/>
        <v>2024</v>
      </c>
      <c r="P12" s="29">
        <f t="shared" ref="P12" si="1">O12+1</f>
        <v>2025</v>
      </c>
      <c r="Q12" s="29">
        <f t="shared" ref="Q12" si="2">P12+1</f>
        <v>2026</v>
      </c>
      <c r="R12" s="29">
        <f t="shared" ref="R12" si="3">Q12+1</f>
        <v>2027</v>
      </c>
    </row>
    <row r="13" spans="1:18">
      <c r="B13" s="1" t="s">
        <v>42</v>
      </c>
      <c r="F13" s="109">
        <f>INDEX(YETI_IS!$A$6:$F$45,MATCH(YETI_DCF!$B13,YETI_IS!$A$6:$A$45,0),MATCH(YETI_DCF!F$12,YETI_IS!$A$6:$F$6,0))</f>
        <v>468946</v>
      </c>
      <c r="G13" s="109">
        <f>INDEX(YETI_IS!$A$6:$F$45,MATCH(YETI_DCF!$B13,YETI_IS!$A$6:$A$45,0),MATCH(YETI_DCF!G$12,YETI_IS!$A$6:$F$6,0))</f>
        <v>818914</v>
      </c>
      <c r="H13" s="109">
        <f>INDEX(YETI_IS!$A$6:$F$45,MATCH(YETI_DCF!$B13,YETI_IS!$A$6:$A$45,0),MATCH(YETI_DCF!H$12,YETI_IS!$A$6:$F$6,0))</f>
        <v>639239</v>
      </c>
      <c r="I13" s="109">
        <f>INDEX(YETI_IS!$A$6:$F$45,MATCH(YETI_DCF!$B13,YETI_IS!$A$6:$A$45,0),MATCH(YETI_DCF!I$12,YETI_IS!$A$6:$F$6,0))</f>
        <v>778833</v>
      </c>
      <c r="J13" s="112">
        <f>INDEX(YETI_IS!$A$6:$F$45,MATCH(YETI_DCF!$B13,YETI_IS!$A$6:$A$45,0),MATCH(YETI_DCF!J$12,YETI_IS!$A$6:$F$6,0))</f>
        <v>913734</v>
      </c>
      <c r="K13" s="108">
        <f>J13*(1+K31)</f>
        <v>868047.29999999993</v>
      </c>
      <c r="L13" s="108">
        <f t="shared" ref="L13:R13" si="4">K13*(1+L31)</f>
        <v>1041656.7599999999</v>
      </c>
      <c r="M13" s="108">
        <f t="shared" si="4"/>
        <v>1232627.166</v>
      </c>
      <c r="N13" s="108">
        <f t="shared" si="4"/>
        <v>1438065.027</v>
      </c>
      <c r="O13" s="108">
        <f t="shared" si="4"/>
        <v>1653774.7810499999</v>
      </c>
      <c r="P13" s="108">
        <f t="shared" si="4"/>
        <v>1874278.0851899998</v>
      </c>
      <c r="Q13" s="108">
        <f t="shared" si="4"/>
        <v>2092943.8617954999</v>
      </c>
      <c r="R13" s="108">
        <f t="shared" si="4"/>
        <v>2302238.24797505</v>
      </c>
    </row>
    <row r="14" spans="1:18">
      <c r="B14" s="1" t="s">
        <v>41</v>
      </c>
      <c r="F14" s="110">
        <f>INDEX(YETI_IS!$A$6:$F$45,MATCH(YETI_DCF!$B14,YETI_IS!$A$6:$A$45,0),MATCH(YETI_DCF!F$12,YETI_IS!$A$6:$F$6,0))</f>
        <v>250245</v>
      </c>
      <c r="G14" s="110">
        <f>INDEX(YETI_IS!$A$6:$F$45,MATCH(YETI_DCF!$B14,YETI_IS!$A$6:$A$45,0),MATCH(YETI_DCF!G$12,YETI_IS!$A$6:$F$6,0))</f>
        <v>404953</v>
      </c>
      <c r="H14" s="110">
        <f>INDEX(YETI_IS!$A$6:$F$45,MATCH(YETI_DCF!$B14,YETI_IS!$A$6:$A$45,0),MATCH(YETI_DCF!H$12,YETI_IS!$A$6:$F$6,0))</f>
        <v>344638</v>
      </c>
      <c r="I14" s="110">
        <f>INDEX(YETI_IS!$A$6:$F$45,MATCH(YETI_DCF!$B14,YETI_IS!$A$6:$A$45,0),MATCH(YETI_DCF!I$12,YETI_IS!$A$6:$F$6,0))</f>
        <v>395705</v>
      </c>
      <c r="J14" s="113">
        <f>INDEX(YETI_IS!$A$6:$F$45,MATCH(YETI_DCF!$B14,YETI_IS!$A$6:$A$45,0),MATCH(YETI_DCF!J$12,YETI_IS!$A$6:$F$6,0))</f>
        <v>438420</v>
      </c>
      <c r="K14" s="126">
        <f>K13*K32</f>
        <v>434023.64999999997</v>
      </c>
      <c r="L14" s="126">
        <f t="shared" ref="L14:R14" si="5">L13*L32</f>
        <v>520828.37999999995</v>
      </c>
      <c r="M14" s="126">
        <f t="shared" si="5"/>
        <v>612204.82577999996</v>
      </c>
      <c r="N14" s="126">
        <f t="shared" si="5"/>
        <v>709445.41331999993</v>
      </c>
      <c r="O14" s="126">
        <f t="shared" si="5"/>
        <v>810349.64271449985</v>
      </c>
      <c r="P14" s="126">
        <f t="shared" si="5"/>
        <v>912148.66812579974</v>
      </c>
      <c r="Q14" s="126">
        <f t="shared" si="5"/>
        <v>1011589.533201158</v>
      </c>
      <c r="R14" s="126">
        <f t="shared" si="5"/>
        <v>1105074.3590280237</v>
      </c>
    </row>
    <row r="15" spans="1:18">
      <c r="B15" s="2" t="s">
        <v>40</v>
      </c>
      <c r="F15" s="107">
        <f>F13-F14</f>
        <v>218701</v>
      </c>
      <c r="G15" s="107">
        <f t="shared" ref="G15:K15" si="6">G13-G14</f>
        <v>413961</v>
      </c>
      <c r="H15" s="107">
        <f t="shared" si="6"/>
        <v>294601</v>
      </c>
      <c r="I15" s="107">
        <f t="shared" si="6"/>
        <v>383128</v>
      </c>
      <c r="J15" s="114">
        <f t="shared" si="6"/>
        <v>475314</v>
      </c>
      <c r="K15" s="126">
        <f t="shared" si="6"/>
        <v>434023.64999999997</v>
      </c>
      <c r="L15" s="126">
        <f t="shared" ref="L15" si="7">L13-L14</f>
        <v>520828.37999999995</v>
      </c>
      <c r="M15" s="126">
        <f t="shared" ref="M15" si="8">M13-M14</f>
        <v>620422.34022000001</v>
      </c>
      <c r="N15" s="126">
        <f t="shared" ref="N15" si="9">N13-N14</f>
        <v>728619.61368000007</v>
      </c>
      <c r="O15" s="126">
        <f t="shared" ref="O15" si="10">O13-O14</f>
        <v>843425.13833550003</v>
      </c>
      <c r="P15" s="126">
        <f t="shared" ref="P15" si="11">P13-P14</f>
        <v>962129.41706420004</v>
      </c>
      <c r="Q15" s="126">
        <f t="shared" ref="Q15" si="12">Q13-Q14</f>
        <v>1081354.3285943419</v>
      </c>
      <c r="R15" s="126">
        <f t="shared" ref="R15" si="13">R13-R14</f>
        <v>1197163.8889470263</v>
      </c>
    </row>
    <row r="16" spans="1:18">
      <c r="B16" s="2"/>
      <c r="F16"/>
      <c r="G16"/>
      <c r="H16"/>
      <c r="I16"/>
      <c r="J16" s="67"/>
      <c r="K16"/>
      <c r="L16"/>
      <c r="M16"/>
      <c r="N16"/>
      <c r="O16"/>
      <c r="P16"/>
      <c r="Q16"/>
      <c r="R16"/>
    </row>
    <row r="17" spans="2:22">
      <c r="B17" s="8" t="s">
        <v>208</v>
      </c>
      <c r="C17" s="8"/>
      <c r="D17" s="8"/>
      <c r="E17" s="8"/>
      <c r="F17" s="111">
        <f>INDEX(YETI_IS!$A$6:$F$45,MATCH(YETI_DCF!$B17,YETI_IS!$A$6:$A$45,0),MATCH(YETI_DCF!F$12,YETI_IS!$A$6:$F$6,0))</f>
        <v>90791</v>
      </c>
      <c r="G17" s="111">
        <f>INDEX(YETI_IS!$A$6:$F$45,MATCH(YETI_DCF!$B17,YETI_IS!$A$6:$A$45,0),MATCH(YETI_DCF!G$12,YETI_IS!$A$6:$F$6,0))</f>
        <v>325754</v>
      </c>
      <c r="H17" s="111">
        <f>INDEX(YETI_IS!$A$6:$F$45,MATCH(YETI_DCF!$B17,YETI_IS!$A$6:$A$45,0),MATCH(YETI_DCF!H$12,YETI_IS!$A$6:$F$6,0))</f>
        <v>230634</v>
      </c>
      <c r="I17" s="111">
        <f>INDEX(YETI_IS!$A$6:$F$45,MATCH(YETI_DCF!$B17,YETI_IS!$A$6:$A$45,0),MATCH(YETI_DCF!I$12,YETI_IS!$A$6:$F$6,0))</f>
        <v>280972</v>
      </c>
      <c r="J17" s="115">
        <f>INDEX(YETI_IS!$A$6:$F$45,MATCH(YETI_DCF!$B17,YETI_IS!$A$6:$A$45,0),MATCH(YETI_DCF!J$12,YETI_IS!$A$6:$F$6,0))</f>
        <v>385543</v>
      </c>
      <c r="K17" s="127">
        <f>K13*K33</f>
        <v>260414.18999999997</v>
      </c>
      <c r="L17" s="116">
        <f t="shared" ref="L17:R17" si="14">L13*L33</f>
        <v>416662.70399999997</v>
      </c>
      <c r="M17" s="116">
        <f t="shared" si="14"/>
        <v>488942.10917999997</v>
      </c>
      <c r="N17" s="116">
        <f t="shared" si="14"/>
        <v>565638.91061999998</v>
      </c>
      <c r="O17" s="116">
        <f t="shared" si="14"/>
        <v>644972.16460949986</v>
      </c>
      <c r="P17" s="116">
        <f t="shared" si="14"/>
        <v>724720.85960679979</v>
      </c>
      <c r="Q17" s="116">
        <f t="shared" si="14"/>
        <v>802295.14702160808</v>
      </c>
      <c r="R17" s="116">
        <f t="shared" si="14"/>
        <v>874850.53423051874</v>
      </c>
    </row>
    <row r="18" spans="2:22">
      <c r="B18" s="28" t="s">
        <v>39</v>
      </c>
      <c r="C18" s="28"/>
      <c r="D18" s="28"/>
      <c r="E18" s="28"/>
      <c r="F18" s="107">
        <f>F15-F17</f>
        <v>127910</v>
      </c>
      <c r="G18" s="107">
        <f t="shared" ref="G18:K18" si="15">G15-G17</f>
        <v>88207</v>
      </c>
      <c r="H18" s="107">
        <f t="shared" si="15"/>
        <v>63967</v>
      </c>
      <c r="I18" s="107">
        <f t="shared" si="15"/>
        <v>102156</v>
      </c>
      <c r="J18" s="117">
        <f t="shared" si="15"/>
        <v>89771</v>
      </c>
      <c r="K18" s="126">
        <f t="shared" si="15"/>
        <v>173609.46</v>
      </c>
      <c r="L18" s="126">
        <f t="shared" ref="L18" si="16">L15-L17</f>
        <v>104165.67599999998</v>
      </c>
      <c r="M18" s="126">
        <f t="shared" ref="M18" si="17">M15-M17</f>
        <v>131480.23104000004</v>
      </c>
      <c r="N18" s="126">
        <f t="shared" ref="N18" si="18">N15-N17</f>
        <v>162980.70306000009</v>
      </c>
      <c r="O18" s="126">
        <f t="shared" ref="O18" si="19">O15-O17</f>
        <v>198452.97372600017</v>
      </c>
      <c r="P18" s="126">
        <f t="shared" ref="P18" si="20">P15-P17</f>
        <v>237408.55745740025</v>
      </c>
      <c r="Q18" s="126">
        <f t="shared" ref="Q18" si="21">Q15-Q17</f>
        <v>279059.1815727338</v>
      </c>
      <c r="R18" s="126">
        <f t="shared" ref="R18" si="22">R15-R17</f>
        <v>322313.3547165076</v>
      </c>
    </row>
    <row r="19" spans="2:22">
      <c r="B19" s="8" t="s">
        <v>38</v>
      </c>
      <c r="C19" s="27"/>
      <c r="D19" s="123">
        <v>0.25</v>
      </c>
      <c r="E19" s="8"/>
      <c r="F19" s="116">
        <f>F18*$D$19</f>
        <v>31977.5</v>
      </c>
      <c r="G19" s="116">
        <f t="shared" ref="G19:K19" si="23">G18*$D$19</f>
        <v>22051.75</v>
      </c>
      <c r="H19" s="116">
        <f t="shared" si="23"/>
        <v>15991.75</v>
      </c>
      <c r="I19" s="116">
        <f t="shared" si="23"/>
        <v>25539</v>
      </c>
      <c r="J19" s="118">
        <f t="shared" si="23"/>
        <v>22442.75</v>
      </c>
      <c r="K19" s="127">
        <f t="shared" si="23"/>
        <v>43402.364999999998</v>
      </c>
      <c r="L19" s="116">
        <f t="shared" ref="L19" si="24">L18*$D$19</f>
        <v>26041.418999999994</v>
      </c>
      <c r="M19" s="116">
        <f t="shared" ref="M19" si="25">M18*$D$19</f>
        <v>32870.057760000011</v>
      </c>
      <c r="N19" s="116">
        <f t="shared" ref="N19" si="26">N18*$D$19</f>
        <v>40745.175765000022</v>
      </c>
      <c r="O19" s="116">
        <f t="shared" ref="O19" si="27">O18*$D$19</f>
        <v>49613.243431500043</v>
      </c>
      <c r="P19" s="116">
        <f t="shared" ref="P19" si="28">P18*$D$19</f>
        <v>59352.139364350063</v>
      </c>
      <c r="Q19" s="116">
        <f t="shared" ref="Q19" si="29">Q18*$D$19</f>
        <v>69764.795393183449</v>
      </c>
      <c r="R19" s="116">
        <f t="shared" ref="R19" si="30">R18*$D$19</f>
        <v>80578.3386791269</v>
      </c>
    </row>
    <row r="20" spans="2:22">
      <c r="B20" s="11" t="s">
        <v>37</v>
      </c>
      <c r="C20" s="11"/>
      <c r="D20" s="11"/>
      <c r="E20" s="11"/>
      <c r="F20" s="107">
        <f>F18-F19</f>
        <v>95932.5</v>
      </c>
      <c r="G20" s="107">
        <f t="shared" ref="G20:K20" si="31">G18-G19</f>
        <v>66155.25</v>
      </c>
      <c r="H20" s="107">
        <f t="shared" si="31"/>
        <v>47975.25</v>
      </c>
      <c r="I20" s="107">
        <f t="shared" si="31"/>
        <v>76617</v>
      </c>
      <c r="J20" s="114">
        <f t="shared" si="31"/>
        <v>67328.25</v>
      </c>
      <c r="K20" s="126">
        <f t="shared" si="31"/>
        <v>130207.095</v>
      </c>
      <c r="L20" s="126">
        <f t="shared" ref="L20" si="32">L18-L19</f>
        <v>78124.256999999983</v>
      </c>
      <c r="M20" s="126">
        <f t="shared" ref="M20" si="33">M18-M19</f>
        <v>98610.173280000032</v>
      </c>
      <c r="N20" s="126">
        <f t="shared" ref="N20" si="34">N18-N19</f>
        <v>122235.52729500007</v>
      </c>
      <c r="O20" s="126">
        <f t="shared" ref="O20" si="35">O18-O19</f>
        <v>148839.73029450013</v>
      </c>
      <c r="P20" s="126">
        <f t="shared" ref="P20" si="36">P18-P19</f>
        <v>178056.41809305019</v>
      </c>
      <c r="Q20" s="126">
        <f t="shared" ref="Q20" si="37">Q18-Q19</f>
        <v>209294.38617955035</v>
      </c>
      <c r="R20" s="126">
        <f t="shared" ref="R20" si="38">R18-R19</f>
        <v>241735.0160373807</v>
      </c>
    </row>
    <row r="21" spans="2:22">
      <c r="B21" s="8"/>
      <c r="C21" s="8"/>
      <c r="D21" s="8"/>
      <c r="E21" s="8"/>
      <c r="F21"/>
      <c r="G21"/>
      <c r="H21"/>
      <c r="I21"/>
      <c r="J21" s="67"/>
      <c r="K21" s="126"/>
      <c r="L21" s="126"/>
      <c r="M21" s="126"/>
      <c r="N21" s="126"/>
      <c r="O21" s="126"/>
      <c r="P21" s="126"/>
      <c r="Q21" s="126"/>
      <c r="R21" s="126"/>
    </row>
    <row r="22" spans="2:22">
      <c r="B22" s="8" t="s">
        <v>36</v>
      </c>
      <c r="C22" s="8"/>
      <c r="D22" s="8"/>
      <c r="E22" s="8"/>
      <c r="F22" s="110">
        <f>INDEX(YETI_IS!$A$6:$F$45,MATCH(YETI_DCF!$B22,YETI_IS!$A$6:$A$45,0),MATCH(YETI_DCF!F$12,YETI_IS!$A$6:$F$6,0))</f>
        <v>7531</v>
      </c>
      <c r="G22" s="110">
        <f>INDEX(YETI_IS!$A$6:$F$45,MATCH(YETI_DCF!$B22,YETI_IS!$A$6:$A$45,0),MATCH(YETI_DCF!G$12,YETI_IS!$A$6:$F$6,0))</f>
        <v>11670</v>
      </c>
      <c r="H22" s="110">
        <f>INDEX(YETI_IS!$A$6:$F$45,MATCH(YETI_DCF!$B22,YETI_IS!$A$6:$A$45,0),MATCH(YETI_DCF!H$12,YETI_IS!$A$6:$F$6,0))</f>
        <v>20769</v>
      </c>
      <c r="I22" s="110">
        <f>INDEX(YETI_IS!$A$6:$F$45,MATCH(YETI_DCF!$B22,YETI_IS!$A$6:$A$45,0),MATCH(YETI_DCF!I$12,YETI_IS!$A$6:$F$6,0))</f>
        <v>24777</v>
      </c>
      <c r="J22" s="113">
        <f>INDEX(YETI_IS!$A$6:$F$45,MATCH(YETI_DCF!$B22,YETI_IS!$A$6:$A$45,0),MATCH(YETI_DCF!J$12,YETI_IS!$A$6:$F$6,0))</f>
        <v>28959</v>
      </c>
      <c r="K22" s="126">
        <f>-K23*K35</f>
        <v>15624.851399999998</v>
      </c>
      <c r="L22" s="126">
        <f t="shared" ref="L22:R22" si="39">-L23*L35</f>
        <v>43749.583919999997</v>
      </c>
      <c r="M22" s="126">
        <f t="shared" si="39"/>
        <v>55468.222469999993</v>
      </c>
      <c r="N22" s="126">
        <f t="shared" si="39"/>
        <v>68547.766286999991</v>
      </c>
      <c r="O22" s="126">
        <f t="shared" si="39"/>
        <v>82688.739052499994</v>
      </c>
      <c r="P22" s="126">
        <f t="shared" si="39"/>
        <v>97462.460429879982</v>
      </c>
      <c r="Q22" s="126">
        <f t="shared" si="39"/>
        <v>112321.32058302514</v>
      </c>
      <c r="R22" s="126">
        <f t="shared" si="39"/>
        <v>126623.10363862773</v>
      </c>
    </row>
    <row r="23" spans="2:22">
      <c r="B23" s="8" t="s">
        <v>35</v>
      </c>
      <c r="C23" s="8"/>
      <c r="D23" s="8"/>
      <c r="E23" s="8"/>
      <c r="F23" s="110">
        <f>INDEX(YETI_IS!$A$6:$F$45,MATCH(YETI_DCF!$B23,YETI_IS!$A$6:$A$45,0),MATCH(YETI_DCF!F$12,YETI_IS!$A$6:$F$6,0))</f>
        <v>-10902</v>
      </c>
      <c r="G23" s="110">
        <f>INDEX(YETI_IS!$A$6:$F$45,MATCH(YETI_DCF!$B23,YETI_IS!$A$6:$A$45,0),MATCH(YETI_DCF!G$12,YETI_IS!$A$6:$F$6,0))</f>
        <v>-60296</v>
      </c>
      <c r="H23" s="110">
        <f>INDEX(YETI_IS!$A$6:$F$45,MATCH(YETI_DCF!$B23,YETI_IS!$A$6:$A$45,0),MATCH(YETI_DCF!H$12,YETI_IS!$A$6:$F$6,0))</f>
        <v>-37271</v>
      </c>
      <c r="I23" s="110">
        <f>INDEX(YETI_IS!$A$6:$F$45,MATCH(YETI_DCF!$B23,YETI_IS!$A$6:$A$45,0),MATCH(YETI_DCF!I$12,YETI_IS!$A$6:$F$6,0))</f>
        <v>-31887</v>
      </c>
      <c r="J23" s="113">
        <f>INDEX(YETI_IS!$A$6:$F$45,MATCH(YETI_DCF!$B23,YETI_IS!$A$6:$A$45,0),MATCH(YETI_DCF!J$12,YETI_IS!$A$6:$F$6,0))</f>
        <v>-48691</v>
      </c>
      <c r="K23" s="126">
        <f>-(K34*K13)</f>
        <v>-26041.418999999998</v>
      </c>
      <c r="L23" s="126">
        <f t="shared" ref="L23:R23" si="40">-(L34*L13)</f>
        <v>-72915.973199999993</v>
      </c>
      <c r="M23" s="126">
        <f t="shared" si="40"/>
        <v>-83202.333704999997</v>
      </c>
      <c r="N23" s="126">
        <f t="shared" si="40"/>
        <v>-93474.226754999996</v>
      </c>
      <c r="O23" s="126">
        <f t="shared" si="40"/>
        <v>-103360.92381562499</v>
      </c>
      <c r="P23" s="126">
        <f t="shared" si="40"/>
        <v>-112456.68511139999</v>
      </c>
      <c r="Q23" s="126">
        <f t="shared" si="40"/>
        <v>-120344.27205324123</v>
      </c>
      <c r="R23" s="126">
        <f t="shared" si="40"/>
        <v>-126623.10363862774</v>
      </c>
    </row>
    <row r="24" spans="2:22">
      <c r="B24" s="8" t="s">
        <v>34</v>
      </c>
      <c r="C24" s="8"/>
      <c r="D24" s="8"/>
      <c r="E24" s="8"/>
      <c r="F24" s="116">
        <f>-F72</f>
        <v>0</v>
      </c>
      <c r="G24" s="116">
        <f t="shared" ref="G24:R24" si="41">-G72</f>
        <v>0</v>
      </c>
      <c r="H24" s="116">
        <f t="shared" si="41"/>
        <v>72868</v>
      </c>
      <c r="I24" s="116">
        <f t="shared" si="41"/>
        <v>71274</v>
      </c>
      <c r="J24" s="116">
        <f t="shared" si="41"/>
        <v>-67411</v>
      </c>
      <c r="K24" s="116">
        <f t="shared" si="41"/>
        <v>-76338.824999999983</v>
      </c>
      <c r="L24" s="116">
        <f t="shared" si="41"/>
        <v>60763.311000000016</v>
      </c>
      <c r="M24" s="116">
        <f t="shared" si="41"/>
        <v>-28645.560900000011</v>
      </c>
      <c r="N24" s="116">
        <f t="shared" si="41"/>
        <v>-30815.679150000011</v>
      </c>
      <c r="O24" s="116">
        <f t="shared" si="41"/>
        <v>-32356.463107499992</v>
      </c>
      <c r="P24" s="116">
        <f t="shared" si="41"/>
        <v>-33075.495620999951</v>
      </c>
      <c r="Q24" s="116">
        <f t="shared" si="41"/>
        <v>-32799.866490825021</v>
      </c>
      <c r="R24" s="116">
        <f t="shared" si="41"/>
        <v>-31394.157926932559</v>
      </c>
    </row>
    <row r="25" spans="2:22">
      <c r="B25" s="21" t="s">
        <v>33</v>
      </c>
      <c r="C25" s="21"/>
      <c r="D25" s="21"/>
      <c r="E25" s="21"/>
      <c r="F25" s="134">
        <f>SUM(F20:F24)</f>
        <v>92561.5</v>
      </c>
      <c r="G25" s="134">
        <f t="shared" ref="G25:K25" si="42">SUM(G20:G24)</f>
        <v>17529.25</v>
      </c>
      <c r="H25" s="134">
        <f t="shared" si="42"/>
        <v>104341.25</v>
      </c>
      <c r="I25" s="134">
        <f t="shared" si="42"/>
        <v>140781</v>
      </c>
      <c r="J25" s="135">
        <f t="shared" si="42"/>
        <v>-19814.75</v>
      </c>
      <c r="K25" s="134">
        <f t="shared" si="42"/>
        <v>43451.702400000009</v>
      </c>
      <c r="L25" s="134">
        <f t="shared" ref="L25" si="43">SUM(L20:L24)</f>
        <v>109721.17872000001</v>
      </c>
      <c r="M25" s="134">
        <f t="shared" ref="M25" si="44">SUM(M20:M24)</f>
        <v>42230.501145000017</v>
      </c>
      <c r="N25" s="134">
        <f t="shared" ref="N25" si="45">SUM(N20:N24)</f>
        <v>66493.387677000064</v>
      </c>
      <c r="O25" s="134">
        <f t="shared" ref="O25" si="46">SUM(O20:O24)</f>
        <v>95811.082423875137</v>
      </c>
      <c r="P25" s="134">
        <f t="shared" ref="P25" si="47">SUM(P20:P24)</f>
        <v>129986.69779053028</v>
      </c>
      <c r="Q25" s="134">
        <f t="shared" ref="Q25" si="48">SUM(Q20:Q24)</f>
        <v>168471.56821850923</v>
      </c>
      <c r="R25" s="134">
        <f t="shared" ref="R25" si="49">SUM(R20:R24)</f>
        <v>210340.85811044811</v>
      </c>
    </row>
    <row r="26" spans="2:22">
      <c r="B26" s="8"/>
      <c r="C26" s="21"/>
      <c r="D26" s="21"/>
      <c r="E26" s="21"/>
      <c r="F26"/>
      <c r="G26"/>
      <c r="H26"/>
      <c r="I26"/>
      <c r="J26"/>
      <c r="K26"/>
      <c r="L26"/>
      <c r="M26"/>
      <c r="N26"/>
      <c r="O26"/>
      <c r="P26" s="26"/>
    </row>
    <row r="27" spans="2:22">
      <c r="F27" s="25"/>
    </row>
    <row r="28" spans="2:22">
      <c r="F28" s="19" t="s">
        <v>8</v>
      </c>
      <c r="G28" s="18"/>
      <c r="H28" s="18"/>
      <c r="I28" s="18"/>
      <c r="J28" s="17"/>
      <c r="K28" s="19" t="s">
        <v>7</v>
      </c>
      <c r="L28" s="18"/>
      <c r="M28" s="18"/>
      <c r="N28" s="18"/>
      <c r="O28" s="17"/>
      <c r="P28" s="124"/>
      <c r="Q28" s="124"/>
      <c r="R28" s="125"/>
    </row>
    <row r="29" spans="2:22">
      <c r="F29" s="24">
        <f>F12</f>
        <v>2015</v>
      </c>
      <c r="G29" s="14">
        <f t="shared" ref="G29:O29" si="50">F29+1</f>
        <v>2016</v>
      </c>
      <c r="H29" s="14">
        <f t="shared" si="50"/>
        <v>2017</v>
      </c>
      <c r="I29" s="14">
        <f t="shared" si="50"/>
        <v>2018</v>
      </c>
      <c r="J29" s="15">
        <f t="shared" si="50"/>
        <v>2019</v>
      </c>
      <c r="K29" s="14">
        <f t="shared" si="50"/>
        <v>2020</v>
      </c>
      <c r="L29" s="14">
        <f t="shared" si="50"/>
        <v>2021</v>
      </c>
      <c r="M29" s="14">
        <f t="shared" si="50"/>
        <v>2022</v>
      </c>
      <c r="N29" s="14">
        <f t="shared" si="50"/>
        <v>2023</v>
      </c>
      <c r="O29" s="14">
        <f t="shared" si="50"/>
        <v>2024</v>
      </c>
      <c r="P29" s="14">
        <f t="shared" ref="P29" si="51">O29+1</f>
        <v>2025</v>
      </c>
      <c r="Q29" s="14">
        <f t="shared" ref="Q29" si="52">P29+1</f>
        <v>2026</v>
      </c>
      <c r="R29" s="14">
        <f t="shared" ref="R29" si="53">Q29+1</f>
        <v>2027</v>
      </c>
    </row>
    <row r="30" spans="2:22">
      <c r="B30" s="2" t="s">
        <v>32</v>
      </c>
      <c r="C30" s="2"/>
      <c r="E30" s="2"/>
      <c r="F30"/>
      <c r="G30"/>
      <c r="H30"/>
      <c r="I30"/>
      <c r="J30" s="67"/>
      <c r="K30"/>
      <c r="L30"/>
      <c r="M30"/>
      <c r="N30"/>
      <c r="O30"/>
      <c r="R30"/>
      <c r="S30"/>
      <c r="T30"/>
    </row>
    <row r="31" spans="2:22">
      <c r="B31" s="1" t="s">
        <v>2</v>
      </c>
      <c r="F31" s="121"/>
      <c r="G31" s="121">
        <f>G13/F13-1</f>
        <v>0.74628635279968258</v>
      </c>
      <c r="H31" s="121">
        <f t="shared" ref="H31:J31" si="54">H13/G13-1</f>
        <v>-0.21940643339837884</v>
      </c>
      <c r="I31" s="121">
        <f t="shared" si="54"/>
        <v>0.21837528686453744</v>
      </c>
      <c r="J31" s="122">
        <f t="shared" si="54"/>
        <v>0.17320914753226946</v>
      </c>
      <c r="K31" s="128">
        <v>-0.05</v>
      </c>
      <c r="L31" s="128">
        <v>0.2</v>
      </c>
      <c r="M31" s="129">
        <f>L31+$U31</f>
        <v>0.18333333333333335</v>
      </c>
      <c r="N31" s="129">
        <f t="shared" ref="N31:R31" si="55">M31+$U31</f>
        <v>0.16666666666666669</v>
      </c>
      <c r="O31" s="129">
        <f t="shared" si="55"/>
        <v>0.15000000000000002</v>
      </c>
      <c r="P31" s="129">
        <f t="shared" si="55"/>
        <v>0.13333333333333336</v>
      </c>
      <c r="Q31" s="129">
        <f t="shared" si="55"/>
        <v>0.1166666666666667</v>
      </c>
      <c r="R31" s="129">
        <f t="shared" si="55"/>
        <v>0.10000000000000003</v>
      </c>
      <c r="S31"/>
      <c r="T31" s="5" t="s">
        <v>3</v>
      </c>
      <c r="U31" s="129">
        <f>(V31-L31)/($R$29-$L$29)</f>
        <v>-1.6666666666666666E-2</v>
      </c>
      <c r="V31" s="123">
        <v>0.1</v>
      </c>
    </row>
    <row r="32" spans="2:22">
      <c r="B32" s="1" t="s">
        <v>1</v>
      </c>
      <c r="F32" s="121">
        <f>F14/F13</f>
        <v>0.5336328703091614</v>
      </c>
      <c r="G32" s="121">
        <f t="shared" ref="G32:J32" si="56">G14/G13</f>
        <v>0.49450003297049505</v>
      </c>
      <c r="H32" s="121">
        <f t="shared" si="56"/>
        <v>0.53913794371119406</v>
      </c>
      <c r="I32" s="121">
        <f t="shared" si="56"/>
        <v>0.50807425982206711</v>
      </c>
      <c r="J32" s="122">
        <f t="shared" si="56"/>
        <v>0.47981141119844506</v>
      </c>
      <c r="K32" s="128">
        <v>0.5</v>
      </c>
      <c r="L32" s="128">
        <v>0.5</v>
      </c>
      <c r="M32" s="129">
        <f t="shared" ref="M32:R32" si="57">L32+$U32</f>
        <v>0.49666666666666665</v>
      </c>
      <c r="N32" s="129">
        <f t="shared" si="57"/>
        <v>0.49333333333333329</v>
      </c>
      <c r="O32" s="129">
        <f t="shared" si="57"/>
        <v>0.48999999999999994</v>
      </c>
      <c r="P32" s="129">
        <f t="shared" si="57"/>
        <v>0.48666666666666658</v>
      </c>
      <c r="Q32" s="129">
        <f t="shared" si="57"/>
        <v>0.48333333333333323</v>
      </c>
      <c r="R32" s="129">
        <f t="shared" si="57"/>
        <v>0.47999999999999987</v>
      </c>
      <c r="S32"/>
      <c r="T32" s="5" t="s">
        <v>3</v>
      </c>
      <c r="U32" s="129">
        <f t="shared" ref="U32:U35" si="58">(V32-L32)/($R$29-$L$29)</f>
        <v>-3.3333333333333361E-3</v>
      </c>
      <c r="V32" s="123">
        <v>0.48</v>
      </c>
    </row>
    <row r="33" spans="1:22">
      <c r="B33" s="1" t="s">
        <v>0</v>
      </c>
      <c r="F33" s="121">
        <f>F17/F13</f>
        <v>0.19360651332989298</v>
      </c>
      <c r="G33" s="121">
        <f t="shared" ref="G33:J33" si="59">G17/G13</f>
        <v>0.39778780189372753</v>
      </c>
      <c r="H33" s="121">
        <f t="shared" si="59"/>
        <v>0.36079463236754955</v>
      </c>
      <c r="I33" s="121">
        <f t="shared" si="59"/>
        <v>0.36076026567954877</v>
      </c>
      <c r="J33" s="122">
        <f t="shared" si="59"/>
        <v>0.42194227203978402</v>
      </c>
      <c r="K33" s="128">
        <v>0.3</v>
      </c>
      <c r="L33" s="128">
        <v>0.4</v>
      </c>
      <c r="M33" s="129">
        <f t="shared" ref="M33:R33" si="60">L33+$U33</f>
        <v>0.39666666666666667</v>
      </c>
      <c r="N33" s="129">
        <f t="shared" si="60"/>
        <v>0.39333333333333331</v>
      </c>
      <c r="O33" s="129">
        <f t="shared" si="60"/>
        <v>0.38999999999999996</v>
      </c>
      <c r="P33" s="129">
        <f t="shared" si="60"/>
        <v>0.3866666666666666</v>
      </c>
      <c r="Q33" s="129">
        <f t="shared" si="60"/>
        <v>0.38333333333333325</v>
      </c>
      <c r="R33" s="129">
        <f t="shared" si="60"/>
        <v>0.37999999999999989</v>
      </c>
      <c r="S33"/>
      <c r="T33" s="5" t="s">
        <v>3</v>
      </c>
      <c r="U33" s="129">
        <f t="shared" si="58"/>
        <v>-3.3333333333333361E-3</v>
      </c>
      <c r="V33" s="123">
        <v>0.38</v>
      </c>
    </row>
    <row r="34" spans="1:22">
      <c r="B34" s="1" t="s">
        <v>31</v>
      </c>
      <c r="F34" s="121">
        <f>-F23/F13</f>
        <v>2.3247879286740904E-2</v>
      </c>
      <c r="G34" s="121">
        <f t="shared" ref="G34:J34" si="61">-G23/G13</f>
        <v>7.3629221139216078E-2</v>
      </c>
      <c r="H34" s="121">
        <f t="shared" si="61"/>
        <v>5.8305266105478544E-2</v>
      </c>
      <c r="I34" s="121">
        <f t="shared" si="61"/>
        <v>4.0942024798641043E-2</v>
      </c>
      <c r="J34" s="122">
        <f t="shared" si="61"/>
        <v>5.3287937189597845E-2</v>
      </c>
      <c r="K34" s="128">
        <v>0.03</v>
      </c>
      <c r="L34" s="128">
        <v>7.0000000000000007E-2</v>
      </c>
      <c r="M34" s="129">
        <f t="shared" ref="M34:R34" si="62">L34+$U34</f>
        <v>6.7500000000000004E-2</v>
      </c>
      <c r="N34" s="129">
        <f t="shared" si="62"/>
        <v>6.5000000000000002E-2</v>
      </c>
      <c r="O34" s="129">
        <f t="shared" si="62"/>
        <v>6.25E-2</v>
      </c>
      <c r="P34" s="129">
        <f t="shared" si="62"/>
        <v>0.06</v>
      </c>
      <c r="Q34" s="129">
        <f t="shared" si="62"/>
        <v>5.7499999999999996E-2</v>
      </c>
      <c r="R34" s="129">
        <f t="shared" si="62"/>
        <v>5.4999999999999993E-2</v>
      </c>
      <c r="S34"/>
      <c r="T34" s="5" t="s">
        <v>3</v>
      </c>
      <c r="U34" s="129">
        <f t="shared" si="58"/>
        <v>-2.5000000000000009E-3</v>
      </c>
      <c r="V34" s="123">
        <v>5.5E-2</v>
      </c>
    </row>
    <row r="35" spans="1:22">
      <c r="B35" s="1" t="s">
        <v>30</v>
      </c>
      <c r="F35" s="121">
        <f>-F22/F23</f>
        <v>0.69079068060906257</v>
      </c>
      <c r="G35" s="121">
        <f t="shared" ref="G35:J35" si="63">-G22/G23</f>
        <v>0.19354517712617753</v>
      </c>
      <c r="H35" s="121">
        <f t="shared" si="63"/>
        <v>0.55724289662203863</v>
      </c>
      <c r="I35" s="121">
        <f t="shared" si="63"/>
        <v>0.77702511995484058</v>
      </c>
      <c r="J35" s="122">
        <f t="shared" si="63"/>
        <v>0.59475056992051922</v>
      </c>
      <c r="K35" s="128">
        <v>0.6</v>
      </c>
      <c r="L35" s="128">
        <v>0.6</v>
      </c>
      <c r="M35" s="129">
        <f t="shared" ref="M35:R35" si="64">L35+$U35</f>
        <v>0.66666666666666663</v>
      </c>
      <c r="N35" s="129">
        <f t="shared" si="64"/>
        <v>0.73333333333333328</v>
      </c>
      <c r="O35" s="129">
        <f t="shared" si="64"/>
        <v>0.79999999999999993</v>
      </c>
      <c r="P35" s="129">
        <f t="shared" si="64"/>
        <v>0.86666666666666659</v>
      </c>
      <c r="Q35" s="129">
        <f t="shared" si="64"/>
        <v>0.93333333333333324</v>
      </c>
      <c r="R35" s="129">
        <f t="shared" si="64"/>
        <v>0.99999999999999989</v>
      </c>
      <c r="S35"/>
      <c r="T35" s="5" t="s">
        <v>3</v>
      </c>
      <c r="U35" s="129">
        <f t="shared" si="58"/>
        <v>6.6666666666666666E-2</v>
      </c>
      <c r="V35" s="123">
        <v>1</v>
      </c>
    </row>
    <row r="36" spans="1:22">
      <c r="B36" s="1" t="s">
        <v>29</v>
      </c>
      <c r="F36" s="121">
        <f>F15/F13</f>
        <v>0.4663671296908386</v>
      </c>
      <c r="G36" s="121">
        <f t="shared" ref="G36:R36" si="65">G15/G13</f>
        <v>0.50549996702950495</v>
      </c>
      <c r="H36" s="121">
        <f t="shared" si="65"/>
        <v>0.46086205628880589</v>
      </c>
      <c r="I36" s="121">
        <f t="shared" si="65"/>
        <v>0.49192574017793289</v>
      </c>
      <c r="J36" s="122">
        <f t="shared" si="65"/>
        <v>0.52018858880155494</v>
      </c>
      <c r="K36" s="129">
        <f t="shared" si="65"/>
        <v>0.5</v>
      </c>
      <c r="L36" s="129">
        <f t="shared" si="65"/>
        <v>0.5</v>
      </c>
      <c r="M36" s="129">
        <f t="shared" si="65"/>
        <v>0.50333333333333341</v>
      </c>
      <c r="N36" s="129">
        <f t="shared" si="65"/>
        <v>0.50666666666666671</v>
      </c>
      <c r="O36" s="129">
        <f t="shared" si="65"/>
        <v>0.51</v>
      </c>
      <c r="P36" s="129">
        <f t="shared" si="65"/>
        <v>0.51333333333333342</v>
      </c>
      <c r="Q36" s="129">
        <f t="shared" si="65"/>
        <v>0.51666666666666683</v>
      </c>
      <c r="R36" s="129">
        <f t="shared" si="65"/>
        <v>0.52000000000000013</v>
      </c>
      <c r="S36"/>
      <c r="T36"/>
    </row>
    <row r="37" spans="1:22">
      <c r="F37"/>
      <c r="G37"/>
      <c r="H37"/>
      <c r="I37"/>
      <c r="J37"/>
      <c r="K37"/>
      <c r="L37"/>
      <c r="M37"/>
      <c r="N37"/>
      <c r="O37"/>
    </row>
    <row r="38" spans="1:22">
      <c r="A38" s="1" t="s">
        <v>92</v>
      </c>
      <c r="B38" s="4" t="s">
        <v>28</v>
      </c>
      <c r="C38" s="3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</row>
    <row r="40" spans="1:22">
      <c r="F40" s="12" t="s">
        <v>5</v>
      </c>
      <c r="G40" s="11"/>
      <c r="H40" s="10"/>
      <c r="I40"/>
      <c r="K40" s="12" t="s">
        <v>27</v>
      </c>
      <c r="L40" s="11"/>
      <c r="M40" s="11"/>
      <c r="N40" s="10"/>
      <c r="P40" s="12" t="s">
        <v>94</v>
      </c>
      <c r="Q40" s="11"/>
      <c r="R40" s="11"/>
      <c r="S40" s="10"/>
    </row>
    <row r="41" spans="1:22">
      <c r="F41" s="9"/>
      <c r="G41" s="8"/>
      <c r="H41" s="63"/>
      <c r="I41"/>
      <c r="K41" s="9"/>
      <c r="L41" s="8"/>
      <c r="M41" s="8"/>
      <c r="N41" s="13"/>
      <c r="P41" s="9"/>
      <c r="Q41" s="8"/>
      <c r="R41" s="8"/>
      <c r="S41" s="63"/>
    </row>
    <row r="42" spans="1:22">
      <c r="F42" s="9" t="s">
        <v>26</v>
      </c>
      <c r="G42" s="8"/>
      <c r="H42" s="137">
        <f>R25</f>
        <v>210340.85811044811</v>
      </c>
      <c r="I42"/>
      <c r="K42" s="9" t="s">
        <v>25</v>
      </c>
      <c r="L42" s="8"/>
      <c r="M42" s="8"/>
      <c r="N42" s="114">
        <f>R18+R22</f>
        <v>448936.45835513534</v>
      </c>
      <c r="P42" s="9" t="s">
        <v>95</v>
      </c>
      <c r="Q42" s="8"/>
      <c r="R42" s="8"/>
      <c r="S42" s="130">
        <f>H51</f>
        <v>3210142.902236633</v>
      </c>
    </row>
    <row r="43" spans="1:22">
      <c r="F43" s="9" t="s">
        <v>4</v>
      </c>
      <c r="G43" s="8"/>
      <c r="H43" s="188">
        <v>8.6999999999999994E-3</v>
      </c>
      <c r="I43"/>
      <c r="K43" s="9" t="s">
        <v>24</v>
      </c>
      <c r="L43" s="8"/>
      <c r="M43" s="8"/>
      <c r="N43" s="189">
        <v>10</v>
      </c>
      <c r="P43" s="9" t="s">
        <v>96</v>
      </c>
      <c r="Q43" s="8"/>
      <c r="R43" s="8"/>
      <c r="S43" s="138">
        <f>(I84+I91)/1000</f>
        <v>87105.442999999999</v>
      </c>
    </row>
    <row r="44" spans="1:22">
      <c r="F44" s="9" t="s">
        <v>23</v>
      </c>
      <c r="G44" s="8"/>
      <c r="H44" s="137">
        <f>(H42*(1+H43))/(H45-H43)</f>
        <v>4416439.5524013555</v>
      </c>
      <c r="I44"/>
      <c r="K44" s="9" t="s">
        <v>23</v>
      </c>
      <c r="L44" s="8"/>
      <c r="M44" s="8"/>
      <c r="N44" s="137">
        <f>N42*N43</f>
        <v>4489364.5835513538</v>
      </c>
      <c r="O44" s="20"/>
      <c r="P44" s="9" t="s">
        <v>97</v>
      </c>
      <c r="Q44" s="8"/>
      <c r="R44" s="8"/>
      <c r="S44" s="141">
        <f ca="1">Option_Value!E30</f>
        <v>37577.597748054439</v>
      </c>
    </row>
    <row r="45" spans="1:22">
      <c r="F45" s="9" t="s">
        <v>64</v>
      </c>
      <c r="G45" s="8"/>
      <c r="H45" s="136">
        <f>F119</f>
        <v>5.6741147412658489E-2</v>
      </c>
      <c r="I45"/>
      <c r="K45" s="9" t="s">
        <v>64</v>
      </c>
      <c r="L45" s="8"/>
      <c r="M45" s="8"/>
      <c r="N45" s="120">
        <f>F119</f>
        <v>5.6741147412658489E-2</v>
      </c>
      <c r="O45" s="20"/>
      <c r="P45" s="7" t="s">
        <v>16</v>
      </c>
      <c r="Q45" s="6"/>
      <c r="R45" s="6"/>
      <c r="S45" s="145">
        <f ca="1">(S42-S44)/S43</f>
        <v>36.422124671228389</v>
      </c>
    </row>
    <row r="46" spans="1:22">
      <c r="F46" s="9" t="s">
        <v>22</v>
      </c>
      <c r="G46" s="8"/>
      <c r="H46" s="137">
        <f>H44/(1+H45)^($R$29-$J$29)</f>
        <v>2840032.7232127879</v>
      </c>
      <c r="I46"/>
      <c r="K46" s="9" t="s">
        <v>22</v>
      </c>
      <c r="L46" s="8"/>
      <c r="M46" s="8"/>
      <c r="N46" s="137">
        <f>N44/(1+N45)^($R$29-$J$29)</f>
        <v>2886927.8459355012</v>
      </c>
    </row>
    <row r="47" spans="1:22">
      <c r="F47" s="9"/>
      <c r="G47" s="8"/>
      <c r="H47" s="63"/>
      <c r="I47"/>
      <c r="K47" s="9"/>
      <c r="L47" s="8"/>
      <c r="M47" s="8"/>
      <c r="N47" s="67"/>
      <c r="P47" s="12" t="s">
        <v>98</v>
      </c>
      <c r="Q47" s="11"/>
      <c r="R47" s="11"/>
      <c r="S47" s="10"/>
    </row>
    <row r="48" spans="1:22">
      <c r="F48" s="9" t="s">
        <v>21</v>
      </c>
      <c r="G48" s="8"/>
      <c r="H48" s="137">
        <f>NPV(H45,$K$25:$R$25)</f>
        <v>644278.17902384489</v>
      </c>
      <c r="I48"/>
      <c r="K48" s="9" t="s">
        <v>21</v>
      </c>
      <c r="L48" s="8"/>
      <c r="M48" s="8"/>
      <c r="N48" s="137">
        <f>NPV(N45,$K$25:$R$25)</f>
        <v>644278.17902384489</v>
      </c>
      <c r="P48" s="9" t="s">
        <v>18</v>
      </c>
      <c r="Q48" s="8"/>
      <c r="R48" s="8"/>
      <c r="S48" s="130">
        <f>H51</f>
        <v>3210142.902236633</v>
      </c>
    </row>
    <row r="49" spans="1:19">
      <c r="F49" s="9" t="s">
        <v>20</v>
      </c>
      <c r="G49" s="8"/>
      <c r="H49" s="137">
        <f>H48+H46</f>
        <v>3484310.902236633</v>
      </c>
      <c r="I49"/>
      <c r="K49" s="9" t="s">
        <v>20</v>
      </c>
      <c r="L49" s="8"/>
      <c r="M49" s="8"/>
      <c r="N49" s="137">
        <f>N48+N46</f>
        <v>3531206.0249593463</v>
      </c>
      <c r="P49" s="9" t="s">
        <v>17</v>
      </c>
      <c r="Q49" s="8"/>
      <c r="R49" s="8"/>
      <c r="S49" s="138">
        <f>N92/1000</f>
        <v>88723.442999999999</v>
      </c>
    </row>
    <row r="50" spans="1:19">
      <c r="F50" s="9" t="s">
        <v>19</v>
      </c>
      <c r="G50" s="8"/>
      <c r="H50" s="137">
        <f>YETI_BS!B60+YETI_BS!B59+YETI_BS!B55+YETI_BS!B45-YETI_BS!B12</f>
        <v>274168</v>
      </c>
      <c r="I50"/>
      <c r="K50" s="9" t="s">
        <v>19</v>
      </c>
      <c r="L50" s="8"/>
      <c r="M50" s="8"/>
      <c r="N50" s="137">
        <f>YETI_BS!B60+YETI_BS!B59+YETI_BS!B55+YETI_BS!B45-YETI_BS!B12</f>
        <v>274168</v>
      </c>
      <c r="P50" s="9" t="s">
        <v>101</v>
      </c>
      <c r="Q50" s="8"/>
      <c r="R50" s="8"/>
      <c r="S50" s="142">
        <f>N89/1000</f>
        <v>26599.920000000006</v>
      </c>
    </row>
    <row r="51" spans="1:19">
      <c r="F51" s="9" t="s">
        <v>18</v>
      </c>
      <c r="G51" s="8"/>
      <c r="H51" s="137">
        <f>H49-H50</f>
        <v>3210142.902236633</v>
      </c>
      <c r="I51"/>
      <c r="K51" s="9" t="s">
        <v>18</v>
      </c>
      <c r="L51" s="8"/>
      <c r="M51" s="8"/>
      <c r="N51" s="137">
        <f>N49-N50</f>
        <v>3257038.0249593463</v>
      </c>
      <c r="P51" s="7" t="s">
        <v>16</v>
      </c>
      <c r="Q51" s="6"/>
      <c r="R51" s="6"/>
      <c r="S51" s="143">
        <f>(S48+S50)/S49</f>
        <v>36.481258084592511</v>
      </c>
    </row>
    <row r="52" spans="1:19">
      <c r="F52" s="9" t="s">
        <v>17</v>
      </c>
      <c r="G52" s="8"/>
      <c r="H52" s="139">
        <f>I92/1000</f>
        <v>87476.376895921232</v>
      </c>
      <c r="I52"/>
      <c r="K52" s="9" t="s">
        <v>17</v>
      </c>
      <c r="L52" s="8"/>
      <c r="M52" s="8"/>
      <c r="N52" s="138">
        <f>I92/1000</f>
        <v>87476.376895921232</v>
      </c>
    </row>
    <row r="53" spans="1:19">
      <c r="F53" s="7" t="s">
        <v>16</v>
      </c>
      <c r="G53" s="6"/>
      <c r="H53" s="140">
        <f>H51/H52</f>
        <v>36.697254917816707</v>
      </c>
      <c r="I53"/>
      <c r="K53" s="7" t="s">
        <v>16</v>
      </c>
      <c r="L53" s="6"/>
      <c r="M53" s="6"/>
      <c r="N53" s="143">
        <f>N51/N52</f>
        <v>37.233343909916925</v>
      </c>
    </row>
    <row r="55" spans="1:19">
      <c r="E55" s="23"/>
    </row>
    <row r="56" spans="1:19">
      <c r="G56" s="22"/>
    </row>
    <row r="57" spans="1:19">
      <c r="A57" s="1" t="s">
        <v>92</v>
      </c>
      <c r="B57" s="4" t="s">
        <v>15</v>
      </c>
      <c r="C57" s="3"/>
      <c r="D57" s="4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9" outlineLevel="1"/>
    <row r="59" spans="1:19" outlineLevel="1"/>
    <row r="60" spans="1:19" outlineLevel="1">
      <c r="F60" s="19" t="s">
        <v>8</v>
      </c>
      <c r="G60" s="18"/>
      <c r="H60" s="18"/>
      <c r="I60" s="18"/>
      <c r="J60" s="17"/>
      <c r="K60" s="19" t="s">
        <v>7</v>
      </c>
      <c r="L60" s="18"/>
      <c r="M60" s="18"/>
      <c r="N60" s="18"/>
      <c r="O60" s="17"/>
      <c r="P60" s="124"/>
      <c r="Q60" s="124"/>
      <c r="R60" s="125"/>
    </row>
    <row r="61" spans="1:19" outlineLevel="1">
      <c r="F61" s="16">
        <f>F12</f>
        <v>2015</v>
      </c>
      <c r="G61" s="14">
        <f t="shared" ref="G61:O61" si="66">F61+1</f>
        <v>2016</v>
      </c>
      <c r="H61" s="14">
        <f t="shared" si="66"/>
        <v>2017</v>
      </c>
      <c r="I61" s="14">
        <f t="shared" si="66"/>
        <v>2018</v>
      </c>
      <c r="J61" s="15">
        <f t="shared" si="66"/>
        <v>2019</v>
      </c>
      <c r="K61" s="14">
        <f t="shared" si="66"/>
        <v>2020</v>
      </c>
      <c r="L61" s="14">
        <f t="shared" si="66"/>
        <v>2021</v>
      </c>
      <c r="M61" s="14">
        <f t="shared" si="66"/>
        <v>2022</v>
      </c>
      <c r="N61" s="14">
        <f t="shared" si="66"/>
        <v>2023</v>
      </c>
      <c r="O61" s="14">
        <f t="shared" si="66"/>
        <v>2024</v>
      </c>
      <c r="P61" s="14">
        <f t="shared" ref="P61" si="67">O61+1</f>
        <v>2025</v>
      </c>
      <c r="Q61" s="14">
        <f t="shared" ref="Q61" si="68">P61+1</f>
        <v>2026</v>
      </c>
      <c r="R61" s="14">
        <f t="shared" ref="R61" si="69">Q61+1</f>
        <v>2027</v>
      </c>
    </row>
    <row r="62" spans="1:19" outlineLevel="1">
      <c r="B62" s="1" t="s">
        <v>14</v>
      </c>
      <c r="F62" s="109" t="str">
        <f>IFERROR(INDEX(YETI_BS!$A$6:$E$69,MATCH(YETI_DCF!$B62,YETI_BS!$A$6:$A$69,0),MATCH(YETI_DCF!F$61,YETI_BS!$A$6:$E$6,0)),"")</f>
        <v/>
      </c>
      <c r="G62" s="109">
        <f>IFERROR(INDEX(YETI_BS!$A$6:$E$69,MATCH(YETI_DCF!$B62,YETI_BS!$A$6:$A$69,0),MATCH(YETI_DCF!G$61,YETI_BS!$A$6:$E$6,0)),"")</f>
        <v>331010</v>
      </c>
      <c r="H62" s="109">
        <f>IFERROR(INDEX(YETI_BS!$A$6:$E$69,MATCH(YETI_DCF!$B62,YETI_BS!$A$6:$A$69,0),MATCH(YETI_DCF!H$61,YETI_BS!$A$6:$E$6,0)),"")</f>
        <v>303034</v>
      </c>
      <c r="I62" s="109">
        <f>IFERROR(INDEX(YETI_BS!$A$6:$E$69,MATCH(YETI_DCF!$B62,YETI_BS!$A$6:$A$69,0),MATCH(YETI_DCF!I$61,YETI_BS!$A$6:$E$6,0)),"")</f>
        <v>297013</v>
      </c>
      <c r="J62" s="112">
        <f>IFERROR(INDEX(YETI_BS!$A$6:$E$69,MATCH(YETI_DCF!$B62,YETI_BS!$A$6:$A$69,0),MATCH(YETI_DCF!J$61,YETI_BS!$A$6:$E$6,0)),"")</f>
        <v>360547</v>
      </c>
    </row>
    <row r="63" spans="1:19" outlineLevel="1">
      <c r="B63" s="1" t="s">
        <v>160</v>
      </c>
      <c r="F63" s="110" t="str">
        <f>IFERROR(INDEX(YETI_BS!$A$6:$E$69,MATCH(YETI_DCF!$B63,YETI_BS!$A$6:$A$69,0),MATCH(YETI_DCF!F$61,YETI_BS!$A$6:$E$6,0)),"")</f>
        <v/>
      </c>
      <c r="G63" s="110">
        <f>IFERROR(INDEX(YETI_BS!$A$6:$E$69,MATCH(YETI_DCF!$B63,YETI_BS!$A$6:$A$69,0),MATCH(YETI_DCF!G$61,YETI_BS!$A$6:$E$6,0)),"")</f>
        <v>21291</v>
      </c>
      <c r="H63" s="110">
        <f>IFERROR(INDEX(YETI_BS!$A$6:$E$69,MATCH(YETI_DCF!$B63,YETI_BS!$A$6:$A$69,0),MATCH(YETI_DCF!H$61,YETI_BS!$A$6:$E$6,0)),"")</f>
        <v>53650</v>
      </c>
      <c r="I63" s="110">
        <f>IFERROR(INDEX(YETI_BS!$A$6:$E$69,MATCH(YETI_DCF!$B63,YETI_BS!$A$6:$A$69,0),MATCH(YETI_DCF!I$61,YETI_BS!$A$6:$E$6,0)),"")</f>
        <v>80051</v>
      </c>
      <c r="J63" s="113">
        <f>IFERROR(INDEX(YETI_BS!$A$6:$E$69,MATCH(YETI_DCF!$B63,YETI_BS!$A$6:$A$69,0),MATCH(YETI_DCF!J$61,YETI_BS!$A$6:$E$6,0)),"")</f>
        <v>72515</v>
      </c>
    </row>
    <row r="64" spans="1:19" outlineLevel="1">
      <c r="B64" s="1" t="s">
        <v>13</v>
      </c>
      <c r="F64" s="107" t="str">
        <f>IFERROR(F62-F63,"")</f>
        <v/>
      </c>
      <c r="G64" s="107">
        <f t="shared" ref="G64:J64" si="70">IFERROR(G62-G63,"")</f>
        <v>309719</v>
      </c>
      <c r="H64" s="107">
        <f t="shared" si="70"/>
        <v>249384</v>
      </c>
      <c r="I64" s="107">
        <f t="shared" si="70"/>
        <v>216962</v>
      </c>
      <c r="J64" s="114">
        <f t="shared" si="70"/>
        <v>288032</v>
      </c>
    </row>
    <row r="65" spans="1:18" outlineLevel="1">
      <c r="F65"/>
      <c r="G65"/>
      <c r="H65"/>
      <c r="I65"/>
      <c r="J65" s="67"/>
    </row>
    <row r="66" spans="1:18" outlineLevel="1">
      <c r="B66" s="1" t="s">
        <v>12</v>
      </c>
      <c r="F66" s="110" t="str">
        <f>IFERROR(INDEX(YETI_BS!$A$6:$E$69,MATCH(YETI_DCF!$B66,YETI_BS!$A$6:$A$69,0),MATCH(YETI_DCF!F$61,YETI_BS!$A$6:$E$6,0)),"")</f>
        <v/>
      </c>
      <c r="G66" s="110">
        <f>IFERROR(INDEX(YETI_BS!$A$6:$E$69,MATCH(YETI_DCF!$B66,YETI_BS!$A$6:$A$69,0),MATCH(YETI_DCF!G$61,YETI_BS!$A$6:$E$6,0)),"")</f>
        <v>137865</v>
      </c>
      <c r="H66" s="110">
        <f>IFERROR(INDEX(YETI_BS!$A$6:$E$69,MATCH(YETI_DCF!$B66,YETI_BS!$A$6:$A$69,0),MATCH(YETI_DCF!H$61,YETI_BS!$A$6:$E$6,0)),"")</f>
        <v>151898</v>
      </c>
      <c r="I66" s="110">
        <f>IFERROR(INDEX(YETI_BS!$A$6:$E$69,MATCH(YETI_DCF!$B66,YETI_BS!$A$6:$A$69,0),MATCH(YETI_DCF!I$61,YETI_BS!$A$6:$E$6,0)),"")</f>
        <v>187338</v>
      </c>
      <c r="J66" s="113">
        <f>IFERROR(INDEX(YETI_BS!$A$6:$E$69,MATCH(YETI_DCF!$B66,YETI_BS!$A$6:$A$69,0),MATCH(YETI_DCF!J$61,YETI_BS!$A$6:$E$6,0)),"")</f>
        <v>170312</v>
      </c>
    </row>
    <row r="67" spans="1:18" outlineLevel="1">
      <c r="B67" s="1" t="s">
        <v>189</v>
      </c>
      <c r="F67" s="110" t="str">
        <f>IFERROR(INDEX(YETI_BS!$A$6:$E$69,MATCH(YETI_DCF!$B67,YETI_BS!$A$6:$A$69,0),MATCH(YETI_DCF!F$61,YETI_BS!$A$6:$E$6,0)),"")</f>
        <v/>
      </c>
      <c r="G67" s="110">
        <f>IFERROR(INDEX(YETI_BS!$A$6:$E$69,MATCH(YETI_DCF!$B67,YETI_BS!$A$6:$A$69,0),MATCH(YETI_DCF!G$61,YETI_BS!$A$6:$E$6,0)),"")</f>
        <v>45550</v>
      </c>
      <c r="H67" s="110">
        <f>IFERROR(INDEX(YETI_BS!$A$6:$E$69,MATCH(YETI_DCF!$B67,YETI_BS!$A$6:$A$69,0),MATCH(YETI_DCF!H$61,YETI_BS!$A$6:$E$6,0)),"")</f>
        <v>47050</v>
      </c>
      <c r="I67" s="110">
        <f>IFERROR(INDEX(YETI_BS!$A$6:$E$69,MATCH(YETI_DCF!$B67,YETI_BS!$A$6:$A$69,0),MATCH(YETI_DCF!I$61,YETI_BS!$A$6:$E$6,0)),"")</f>
        <v>43638</v>
      </c>
      <c r="J67" s="113">
        <f>IFERROR(INDEX(YETI_BS!$A$6:$E$69,MATCH(YETI_DCF!$B67,YETI_BS!$A$6:$A$69,0),MATCH(YETI_DCF!J$61,YETI_BS!$A$6:$E$6,0)),"")</f>
        <v>15185</v>
      </c>
    </row>
    <row r="68" spans="1:18" outlineLevel="1">
      <c r="B68" s="1" t="s">
        <v>187</v>
      </c>
      <c r="F68" s="110" t="str">
        <f>IFERROR(INDEX(YETI_BS!$A$6:$E$69,MATCH(YETI_DCF!$B68,YETI_BS!$A$6:$A$69,0),MATCH(YETI_DCF!F$61,YETI_BS!$A$6:$E$6,0)),"")</f>
        <v/>
      </c>
      <c r="G68" s="110">
        <f>IFERROR(INDEX(YETI_BS!$A$6:$E$69,MATCH(YETI_DCF!$B68,YETI_BS!$A$6:$A$69,0),MATCH(YETI_DCF!G$61,YETI_BS!$A$6:$E$6,0)),"")</f>
        <v>0</v>
      </c>
      <c r="H68" s="110">
        <f>IFERROR(INDEX(YETI_BS!$A$6:$E$69,MATCH(YETI_DCF!$B68,YETI_BS!$A$6:$A$69,0),MATCH(YETI_DCF!H$61,YETI_BS!$A$6:$E$6,0)),"")</f>
        <v>0</v>
      </c>
      <c r="I68" s="110">
        <f>IFERROR(INDEX(YETI_BS!$A$6:$E$69,MATCH(YETI_DCF!$B68,YETI_BS!$A$6:$A$69,0),MATCH(YETI_DCF!I$61,YETI_BS!$A$6:$E$6,0)),"")</f>
        <v>0</v>
      </c>
      <c r="J68" s="113">
        <f>IFERROR(INDEX(YETI_BS!$A$6:$E$69,MATCH(YETI_DCF!$B68,YETI_BS!$A$6:$A$69,0),MATCH(YETI_DCF!J$61,YETI_BS!$A$6:$E$6,0)),"")</f>
        <v>7768</v>
      </c>
    </row>
    <row r="69" spans="1:18" outlineLevel="1">
      <c r="B69" s="1" t="s">
        <v>11</v>
      </c>
      <c r="F69" s="107" t="str">
        <f>IFERROR(F66-F67-F68,"")</f>
        <v/>
      </c>
      <c r="G69" s="107">
        <f t="shared" ref="G69:J69" si="71">IFERROR(G66-G67-G68,"")</f>
        <v>92315</v>
      </c>
      <c r="H69" s="107">
        <f t="shared" si="71"/>
        <v>104848</v>
      </c>
      <c r="I69" s="107">
        <f t="shared" si="71"/>
        <v>143700</v>
      </c>
      <c r="J69" s="114">
        <f t="shared" si="71"/>
        <v>147359</v>
      </c>
    </row>
    <row r="70" spans="1:18" outlineLevel="1">
      <c r="F70" s="107"/>
      <c r="G70" s="107"/>
      <c r="H70" s="107"/>
      <c r="I70" s="107"/>
      <c r="J70" s="114"/>
    </row>
    <row r="71" spans="1:18" outlineLevel="1">
      <c r="B71" s="21" t="s">
        <v>10</v>
      </c>
      <c r="F71" s="107" t="str">
        <f>IFERROR(F64-F69,"")</f>
        <v/>
      </c>
      <c r="G71" s="107">
        <f t="shared" ref="G71:J71" si="72">IFERROR(G64-G69,"")</f>
        <v>217404</v>
      </c>
      <c r="H71" s="107">
        <f t="shared" si="72"/>
        <v>144536</v>
      </c>
      <c r="I71" s="107">
        <f t="shared" si="72"/>
        <v>73262</v>
      </c>
      <c r="J71" s="114">
        <f t="shared" si="72"/>
        <v>140673</v>
      </c>
      <c r="K71" s="126">
        <f>K77*K13</f>
        <v>217011.82499999998</v>
      </c>
      <c r="L71" s="126">
        <f t="shared" ref="L71:R71" si="73">L77*L13</f>
        <v>156248.51399999997</v>
      </c>
      <c r="M71" s="126">
        <f t="shared" si="73"/>
        <v>184894.07489999998</v>
      </c>
      <c r="N71" s="126">
        <f t="shared" si="73"/>
        <v>215709.75404999999</v>
      </c>
      <c r="O71" s="126">
        <f t="shared" si="73"/>
        <v>248066.21715749998</v>
      </c>
      <c r="P71" s="126">
        <f t="shared" si="73"/>
        <v>281141.71277849993</v>
      </c>
      <c r="Q71" s="126">
        <f t="shared" si="73"/>
        <v>313941.57926932495</v>
      </c>
      <c r="R71" s="126">
        <f t="shared" si="73"/>
        <v>345335.73719625751</v>
      </c>
    </row>
    <row r="72" spans="1:18" outlineLevel="1">
      <c r="B72" s="21" t="s">
        <v>9</v>
      </c>
      <c r="F72" s="109"/>
      <c r="G72" s="109"/>
      <c r="H72" s="131">
        <f>H71-G71</f>
        <v>-72868</v>
      </c>
      <c r="I72" s="131">
        <f t="shared" ref="I72:J72" si="74">I71-H71</f>
        <v>-71274</v>
      </c>
      <c r="J72" s="132">
        <f t="shared" si="74"/>
        <v>67411</v>
      </c>
      <c r="K72" s="133">
        <f>K71-J71</f>
        <v>76338.824999999983</v>
      </c>
      <c r="L72" s="133">
        <f t="shared" ref="L72:R72" si="75">L71-K71</f>
        <v>-60763.311000000016</v>
      </c>
      <c r="M72" s="133">
        <f t="shared" si="75"/>
        <v>28645.560900000011</v>
      </c>
      <c r="N72" s="133">
        <f t="shared" si="75"/>
        <v>30815.679150000011</v>
      </c>
      <c r="O72" s="133">
        <f t="shared" si="75"/>
        <v>32356.463107499992</v>
      </c>
      <c r="P72" s="133">
        <f t="shared" si="75"/>
        <v>33075.495620999951</v>
      </c>
      <c r="Q72" s="133">
        <f t="shared" si="75"/>
        <v>32799.866490825021</v>
      </c>
      <c r="R72" s="133">
        <f t="shared" si="75"/>
        <v>31394.157926932559</v>
      </c>
    </row>
    <row r="73" spans="1:18" outlineLevel="1">
      <c r="F73"/>
      <c r="G73"/>
      <c r="H73"/>
      <c r="I73"/>
      <c r="J73"/>
    </row>
    <row r="74" spans="1:18" outlineLevel="1"/>
    <row r="75" spans="1:18" outlineLevel="1">
      <c r="F75" s="19" t="s">
        <v>8</v>
      </c>
      <c r="G75" s="18"/>
      <c r="H75" s="18"/>
      <c r="I75" s="18"/>
      <c r="J75" s="17"/>
      <c r="K75" s="19" t="s">
        <v>7</v>
      </c>
      <c r="L75" s="18"/>
      <c r="M75" s="18"/>
      <c r="N75" s="18"/>
      <c r="O75" s="17"/>
      <c r="P75" s="124"/>
      <c r="Q75" s="124"/>
      <c r="R75" s="125"/>
    </row>
    <row r="76" spans="1:18" outlineLevel="1">
      <c r="F76" s="16">
        <f>F61</f>
        <v>2015</v>
      </c>
      <c r="G76" s="14">
        <f t="shared" ref="G76:O76" si="76">F76+1</f>
        <v>2016</v>
      </c>
      <c r="H76" s="14">
        <f t="shared" si="76"/>
        <v>2017</v>
      </c>
      <c r="I76" s="14">
        <f t="shared" si="76"/>
        <v>2018</v>
      </c>
      <c r="J76" s="15">
        <f t="shared" si="76"/>
        <v>2019</v>
      </c>
      <c r="K76" s="14">
        <f t="shared" si="76"/>
        <v>2020</v>
      </c>
      <c r="L76" s="14">
        <f t="shared" si="76"/>
        <v>2021</v>
      </c>
      <c r="M76" s="14">
        <f t="shared" si="76"/>
        <v>2022</v>
      </c>
      <c r="N76" s="14">
        <f t="shared" si="76"/>
        <v>2023</v>
      </c>
      <c r="O76" s="14">
        <f t="shared" si="76"/>
        <v>2024</v>
      </c>
      <c r="P76" s="14">
        <f t="shared" ref="P76" si="77">O76+1</f>
        <v>2025</v>
      </c>
      <c r="Q76" s="14">
        <f t="shared" ref="Q76" si="78">P76+1</f>
        <v>2026</v>
      </c>
      <c r="R76" s="14">
        <f t="shared" ref="R76" si="79">Q76+1</f>
        <v>2027</v>
      </c>
    </row>
    <row r="77" spans="1:18" outlineLevel="1">
      <c r="B77" s="1" t="s">
        <v>6</v>
      </c>
      <c r="F77" s="5"/>
      <c r="G77" s="5">
        <f>G71/G13</f>
        <v>0.265478426306059</v>
      </c>
      <c r="H77" s="5">
        <f t="shared" ref="H77:J77" si="80">H71/H13</f>
        <v>0.2261063545872514</v>
      </c>
      <c r="I77" s="5">
        <f t="shared" si="80"/>
        <v>9.4066378800076525E-2</v>
      </c>
      <c r="J77" s="5">
        <f t="shared" si="80"/>
        <v>0.1539539953640775</v>
      </c>
      <c r="K77" s="128">
        <v>0.25</v>
      </c>
      <c r="L77" s="128">
        <v>0.15</v>
      </c>
      <c r="M77" s="5">
        <f>L77</f>
        <v>0.15</v>
      </c>
      <c r="N77" s="5">
        <f t="shared" ref="N77:R77" si="81">M77</f>
        <v>0.15</v>
      </c>
      <c r="O77" s="5">
        <f t="shared" si="81"/>
        <v>0.15</v>
      </c>
      <c r="P77" s="5">
        <f t="shared" si="81"/>
        <v>0.15</v>
      </c>
      <c r="Q77" s="5">
        <f t="shared" si="81"/>
        <v>0.15</v>
      </c>
      <c r="R77" s="5">
        <f t="shared" si="81"/>
        <v>0.15</v>
      </c>
    </row>
    <row r="78" spans="1:18" outlineLevel="1"/>
    <row r="79" spans="1:18" outlineLevel="1"/>
    <row r="80" spans="1:18">
      <c r="A80" s="1" t="s">
        <v>92</v>
      </c>
      <c r="B80" s="36" t="s">
        <v>57</v>
      </c>
      <c r="C80" s="37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outlineLevel="1"/>
    <row r="82" spans="1:15" outlineLevel="1">
      <c r="H82" s="169"/>
      <c r="I82" s="169"/>
      <c r="J82" s="169"/>
      <c r="K82" s="169"/>
      <c r="L82" s="169"/>
      <c r="M82" s="169"/>
      <c r="N82" s="169"/>
    </row>
    <row r="83" spans="1:15" outlineLevel="1">
      <c r="B83" s="35"/>
      <c r="C83" s="35"/>
      <c r="D83" s="35"/>
      <c r="E83" s="35"/>
      <c r="F83" s="40" t="s">
        <v>140</v>
      </c>
      <c r="G83" s="39"/>
      <c r="H83" s="170"/>
      <c r="I83" s="171"/>
      <c r="J83" s="34"/>
      <c r="K83" s="172" t="s">
        <v>99</v>
      </c>
      <c r="L83" s="170"/>
      <c r="M83" s="170"/>
      <c r="N83" s="171"/>
      <c r="O83" s="35"/>
    </row>
    <row r="84" spans="1:15" outlineLevel="1">
      <c r="F84" s="41" t="s">
        <v>58</v>
      </c>
      <c r="G84" s="38"/>
      <c r="H84" s="173"/>
      <c r="I84" s="164">
        <v>86786443</v>
      </c>
      <c r="J84" s="169"/>
      <c r="K84" s="175" t="s">
        <v>58</v>
      </c>
      <c r="L84" s="173"/>
      <c r="M84" s="173"/>
      <c r="N84" s="164">
        <v>86786443</v>
      </c>
    </row>
    <row r="85" spans="1:15" outlineLevel="1">
      <c r="F85" s="41" t="s">
        <v>141</v>
      </c>
      <c r="G85" s="38"/>
      <c r="H85" s="173"/>
      <c r="I85" s="164">
        <v>1618000</v>
      </c>
      <c r="J85" s="169"/>
      <c r="K85" s="175" t="s">
        <v>100</v>
      </c>
      <c r="L85" s="173"/>
      <c r="M85" s="173"/>
      <c r="N85" s="164">
        <v>1618000</v>
      </c>
    </row>
    <row r="86" spans="1:15" outlineLevel="1">
      <c r="F86" s="41" t="s">
        <v>59</v>
      </c>
      <c r="G86" s="38"/>
      <c r="H86" s="173"/>
      <c r="I86" s="165">
        <v>16.440000000000001</v>
      </c>
      <c r="J86" s="169"/>
      <c r="K86" s="175" t="s">
        <v>59</v>
      </c>
      <c r="L86" s="173"/>
      <c r="M86" s="173"/>
      <c r="N86" s="165">
        <v>16.440000000000001</v>
      </c>
    </row>
    <row r="87" spans="1:15" outlineLevel="1">
      <c r="F87" s="41" t="s">
        <v>60</v>
      </c>
      <c r="G87" s="38"/>
      <c r="H87" s="173"/>
      <c r="I87" s="165">
        <v>21.33</v>
      </c>
      <c r="J87" s="169"/>
      <c r="K87" s="175"/>
      <c r="L87" s="173"/>
      <c r="M87" s="173"/>
      <c r="N87" s="176"/>
    </row>
    <row r="88" spans="1:15" outlineLevel="1">
      <c r="F88" s="41" t="s">
        <v>142</v>
      </c>
      <c r="G88" s="38"/>
      <c r="H88" s="173"/>
      <c r="I88" s="174">
        <f>IF(I86&lt;I87,I85,0)</f>
        <v>1618000</v>
      </c>
      <c r="J88" s="169"/>
      <c r="K88" s="175"/>
      <c r="L88" s="173"/>
      <c r="M88" s="173"/>
      <c r="N88" s="176"/>
    </row>
    <row r="89" spans="1:15" outlineLevel="1">
      <c r="F89" s="41" t="s">
        <v>61</v>
      </c>
      <c r="G89" s="38"/>
      <c r="H89" s="173"/>
      <c r="I89" s="174">
        <f>I88*I86</f>
        <v>26599920.000000004</v>
      </c>
      <c r="J89" s="169"/>
      <c r="K89" s="175" t="s">
        <v>61</v>
      </c>
      <c r="L89" s="173"/>
      <c r="M89" s="173"/>
      <c r="N89" s="177">
        <f>N85*N86</f>
        <v>26599920.000000004</v>
      </c>
    </row>
    <row r="90" spans="1:15" outlineLevel="1">
      <c r="F90" s="41" t="s">
        <v>62</v>
      </c>
      <c r="G90" s="38"/>
      <c r="H90" s="173"/>
      <c r="I90" s="174">
        <f>I89/I87</f>
        <v>1247066.1040787625</v>
      </c>
      <c r="J90" s="169"/>
      <c r="K90" s="175"/>
      <c r="L90" s="173"/>
      <c r="M90" s="173"/>
      <c r="N90" s="176"/>
    </row>
    <row r="91" spans="1:15" outlineLevel="1">
      <c r="F91" s="41" t="s">
        <v>284</v>
      </c>
      <c r="G91" s="38"/>
      <c r="H91" s="173"/>
      <c r="I91" s="164">
        <v>319000</v>
      </c>
      <c r="J91" s="169"/>
      <c r="K91" s="175" t="s">
        <v>284</v>
      </c>
      <c r="L91" s="173"/>
      <c r="M91" s="173"/>
      <c r="N91" s="164">
        <v>319000</v>
      </c>
    </row>
    <row r="92" spans="1:15" outlineLevel="1">
      <c r="F92" s="41" t="s">
        <v>63</v>
      </c>
      <c r="G92" s="38"/>
      <c r="H92" s="38"/>
      <c r="I92" s="138">
        <f>I84+I88-I90+I91</f>
        <v>87476376.89592123</v>
      </c>
      <c r="K92" s="41" t="s">
        <v>63</v>
      </c>
      <c r="L92" s="38"/>
      <c r="M92" s="38"/>
      <c r="N92" s="138">
        <f>N84+N85+N91</f>
        <v>88723443</v>
      </c>
    </row>
    <row r="93" spans="1:15" outlineLevel="1">
      <c r="F93" s="42"/>
      <c r="G93" s="43"/>
      <c r="H93" s="43"/>
      <c r="I93" s="44"/>
      <c r="K93" s="42"/>
      <c r="L93" s="43"/>
      <c r="M93" s="43"/>
      <c r="N93" s="44"/>
    </row>
    <row r="94" spans="1:15" outlineLevel="1"/>
    <row r="95" spans="1:15">
      <c r="A95" s="1" t="s">
        <v>92</v>
      </c>
      <c r="B95" s="4" t="s">
        <v>64</v>
      </c>
      <c r="C95" s="3"/>
      <c r="D95" s="4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>
      <c r="B96" s="45"/>
      <c r="C96" s="46"/>
      <c r="D96" s="45"/>
      <c r="E96" s="45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2:10">
      <c r="F97" s="2" t="s">
        <v>65</v>
      </c>
      <c r="G97" s="2"/>
    </row>
    <row r="98" spans="2:10">
      <c r="B98" s="47" t="s">
        <v>66</v>
      </c>
    </row>
    <row r="99" spans="2:10">
      <c r="B99" s="48" t="s">
        <v>67</v>
      </c>
      <c r="F99" s="167">
        <f>YETI_BS!B59+YETI_BS!B55+YETI_BS!B45+YETI_BS!B60</f>
        <v>346683</v>
      </c>
      <c r="G99" s="178"/>
      <c r="H99"/>
    </row>
    <row r="100" spans="2:10">
      <c r="B100" s="48" t="s">
        <v>68</v>
      </c>
      <c r="F100" s="166">
        <v>21.33</v>
      </c>
      <c r="G100" s="178"/>
      <c r="H100"/>
    </row>
    <row r="101" spans="2:10">
      <c r="B101" s="48" t="s">
        <v>93</v>
      </c>
      <c r="F101" s="167">
        <f>86786443/1000</f>
        <v>86786.442999999999</v>
      </c>
      <c r="G101" s="178"/>
      <c r="H101" t="s">
        <v>299</v>
      </c>
    </row>
    <row r="102" spans="2:10">
      <c r="B102" s="48" t="s">
        <v>69</v>
      </c>
      <c r="F102" s="179">
        <f>F100*F101</f>
        <v>1851154.8291899997</v>
      </c>
      <c r="G102" s="178"/>
      <c r="H102"/>
    </row>
    <row r="103" spans="2:10">
      <c r="B103"/>
      <c r="F103" s="178"/>
      <c r="G103" s="178"/>
      <c r="H103"/>
    </row>
    <row r="104" spans="2:10">
      <c r="B104" s="48" t="s">
        <v>70</v>
      </c>
      <c r="F104" s="180">
        <f>F99/(F102+F99)</f>
        <v>0.1577382077037813</v>
      </c>
      <c r="G104" s="178"/>
      <c r="H104"/>
    </row>
    <row r="105" spans="2:10">
      <c r="B105" s="48" t="s">
        <v>71</v>
      </c>
      <c r="F105" s="180">
        <f>F102/(F99+F102)</f>
        <v>0.84226179229621856</v>
      </c>
      <c r="G105" s="178"/>
      <c r="H105"/>
    </row>
    <row r="106" spans="2:10">
      <c r="B106"/>
      <c r="F106" s="178"/>
      <c r="G106" s="178"/>
      <c r="H106"/>
    </row>
    <row r="107" spans="2:10">
      <c r="B107" s="47" t="s">
        <v>72</v>
      </c>
      <c r="F107" s="178"/>
      <c r="G107" s="178"/>
      <c r="H107"/>
    </row>
    <row r="108" spans="2:10">
      <c r="B108" s="48" t="s">
        <v>274</v>
      </c>
      <c r="F108" s="181">
        <f>YETI_IS!B16/YETI_IS!B17</f>
        <v>4.121906423619083</v>
      </c>
      <c r="G108" s="178"/>
      <c r="H108"/>
    </row>
    <row r="109" spans="2:10">
      <c r="B109" s="48" t="s">
        <v>275</v>
      </c>
      <c r="F109" s="168">
        <v>2.9700000000000001E-2</v>
      </c>
      <c r="G109" s="178"/>
      <c r="H109"/>
    </row>
    <row r="110" spans="2:10">
      <c r="B110" s="48" t="s">
        <v>73</v>
      </c>
      <c r="F110" s="180">
        <f>F109+F114</f>
        <v>3.8400000000000004E-2</v>
      </c>
      <c r="G110" s="178"/>
      <c r="H110"/>
    </row>
    <row r="111" spans="2:10">
      <c r="B111" s="48" t="s">
        <v>74</v>
      </c>
      <c r="F111" s="128">
        <v>0.25</v>
      </c>
      <c r="G111" s="178"/>
      <c r="H111"/>
    </row>
    <row r="112" spans="2:10">
      <c r="B112"/>
      <c r="F112" s="178"/>
      <c r="G112" s="178"/>
      <c r="H112"/>
      <c r="J112" s="23"/>
    </row>
    <row r="113" spans="1:15">
      <c r="B113" s="47" t="s">
        <v>75</v>
      </c>
      <c r="F113" s="178"/>
      <c r="G113" s="178"/>
      <c r="H113"/>
    </row>
    <row r="114" spans="1:15">
      <c r="B114" s="48" t="s">
        <v>76</v>
      </c>
      <c r="F114" s="168">
        <v>8.6999999999999994E-3</v>
      </c>
      <c r="G114" s="178"/>
      <c r="H114"/>
    </row>
    <row r="115" spans="1:15">
      <c r="B115" s="48" t="s">
        <v>77</v>
      </c>
      <c r="F115" s="180">
        <v>5.7700000000000001E-2</v>
      </c>
      <c r="G115" s="178"/>
      <c r="H115"/>
    </row>
    <row r="116" spans="1:15">
      <c r="B116" s="48" t="s">
        <v>78</v>
      </c>
      <c r="F116" s="182">
        <f>C136</f>
        <v>0.92329196246247169</v>
      </c>
      <c r="G116" s="178"/>
      <c r="H116"/>
    </row>
    <row r="117" spans="1:15">
      <c r="B117" s="47" t="s">
        <v>75</v>
      </c>
      <c r="F117" s="119">
        <f>F114+F115*F116</f>
        <v>6.1973946234084615E-2</v>
      </c>
      <c r="G117"/>
      <c r="H117"/>
    </row>
    <row r="118" spans="1:15">
      <c r="B118"/>
      <c r="F118"/>
      <c r="G118"/>
      <c r="H118"/>
    </row>
    <row r="119" spans="1:15">
      <c r="B119" s="47" t="s">
        <v>79</v>
      </c>
      <c r="F119" s="119">
        <f>F105*F117+F104*F110*(1-F111)</f>
        <v>5.6741147412658489E-2</v>
      </c>
      <c r="G119"/>
      <c r="H119"/>
    </row>
    <row r="121" spans="1:15">
      <c r="A121" s="1" t="s">
        <v>92</v>
      </c>
      <c r="B121" s="4" t="s">
        <v>80</v>
      </c>
      <c r="C121" s="3"/>
      <c r="D121" s="4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</row>
    <row r="123" spans="1:1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</row>
    <row r="124" spans="1:15">
      <c r="B124" s="48"/>
      <c r="C124" s="48"/>
      <c r="D124" s="48"/>
      <c r="E124" s="49" t="s">
        <v>81</v>
      </c>
      <c r="F124" s="49" t="s">
        <v>82</v>
      </c>
      <c r="G124" s="50" t="s">
        <v>83</v>
      </c>
      <c r="H124" s="50" t="s">
        <v>84</v>
      </c>
      <c r="I124" s="50" t="s">
        <v>85</v>
      </c>
      <c r="J124" s="48"/>
      <c r="K124" s="50" t="s">
        <v>86</v>
      </c>
    </row>
    <row r="125" spans="1:15" ht="14.5" thickBot="1">
      <c r="B125" s="51" t="s">
        <v>87</v>
      </c>
      <c r="C125" s="52" t="s">
        <v>103</v>
      </c>
      <c r="D125" s="53"/>
      <c r="E125" s="53" t="s">
        <v>88</v>
      </c>
      <c r="F125" s="53" t="s">
        <v>89</v>
      </c>
      <c r="G125" s="53" t="s">
        <v>88</v>
      </c>
      <c r="H125" s="53" t="s">
        <v>78</v>
      </c>
      <c r="I125" s="53" t="s">
        <v>78</v>
      </c>
      <c r="J125" s="48"/>
      <c r="K125" s="53" t="s">
        <v>90</v>
      </c>
    </row>
    <row r="126" spans="1:15">
      <c r="B126" s="48" t="s">
        <v>280</v>
      </c>
      <c r="C126" s="48" t="s">
        <v>276</v>
      </c>
      <c r="D126" s="48"/>
      <c r="E126" s="54">
        <v>277.06200000000001</v>
      </c>
      <c r="F126" s="60">
        <v>22.67</v>
      </c>
      <c r="G126" s="62">
        <f>F126/E126</f>
        <v>8.1822841096938589E-2</v>
      </c>
      <c r="H126" s="56">
        <v>1.28</v>
      </c>
      <c r="I126" s="62">
        <f>H126/(1+(G126*(1-K126)))</f>
        <v>1.2059917467086303</v>
      </c>
      <c r="J126" s="48"/>
      <c r="K126" s="128">
        <v>0.25</v>
      </c>
    </row>
    <row r="127" spans="1:15">
      <c r="B127" s="48" t="s">
        <v>281</v>
      </c>
      <c r="C127" s="48" t="s">
        <v>277</v>
      </c>
      <c r="D127" s="48"/>
      <c r="E127" s="54">
        <v>951.6</v>
      </c>
      <c r="F127" s="60">
        <f>443.259+137.697+26.418</f>
        <v>607.37400000000002</v>
      </c>
      <c r="G127" s="62">
        <f t="shared" ref="G127:G129" si="82">F127/E127</f>
        <v>0.63826607818411096</v>
      </c>
      <c r="H127" s="56">
        <v>1.45</v>
      </c>
      <c r="I127" s="62">
        <f t="shared" ref="I127:I129" si="83">H127/(1+(G127*(1-K127)))</f>
        <v>0.98059135240121653</v>
      </c>
      <c r="J127" s="48"/>
      <c r="K127" s="119">
        <f>K126</f>
        <v>0.25</v>
      </c>
    </row>
    <row r="128" spans="1:15">
      <c r="B128" s="48" t="s">
        <v>282</v>
      </c>
      <c r="C128" s="48" t="s">
        <v>278</v>
      </c>
      <c r="D128" s="48"/>
      <c r="E128" s="54">
        <v>397.05</v>
      </c>
      <c r="F128" s="60">
        <v>704.005</v>
      </c>
      <c r="G128" s="62">
        <f t="shared" si="82"/>
        <v>1.7730890316081098</v>
      </c>
      <c r="H128" s="56">
        <v>0.47</v>
      </c>
      <c r="I128" s="62">
        <f t="shared" si="83"/>
        <v>0.20173260202447693</v>
      </c>
      <c r="J128" s="48"/>
      <c r="K128" s="119">
        <f t="shared" ref="K128:K129" si="84">K127</f>
        <v>0.25</v>
      </c>
    </row>
    <row r="129" spans="1:15">
      <c r="B129" s="48" t="s">
        <v>283</v>
      </c>
      <c r="C129" s="48" t="s">
        <v>279</v>
      </c>
      <c r="D129" s="48"/>
      <c r="E129" s="54">
        <v>25228</v>
      </c>
      <c r="F129" s="60">
        <v>0</v>
      </c>
      <c r="G129" s="62">
        <f t="shared" si="82"/>
        <v>0</v>
      </c>
      <c r="H129" s="56">
        <v>0.85</v>
      </c>
      <c r="I129" s="62">
        <f t="shared" si="83"/>
        <v>0.85</v>
      </c>
      <c r="J129" s="48"/>
      <c r="K129" s="119">
        <f t="shared" si="84"/>
        <v>0.25</v>
      </c>
    </row>
    <row r="130" spans="1:15">
      <c r="B130" s="48"/>
      <c r="C130" s="48"/>
      <c r="D130" s="48"/>
      <c r="E130" s="54"/>
      <c r="F130" s="60"/>
      <c r="G130" s="62"/>
      <c r="H130" s="56"/>
      <c r="I130" s="57"/>
      <c r="J130" s="48"/>
      <c r="K130" s="58"/>
    </row>
    <row r="131" spans="1:15">
      <c r="B131" s="48"/>
      <c r="C131" s="48"/>
      <c r="D131" s="48"/>
      <c r="E131" s="54"/>
      <c r="F131" s="60"/>
      <c r="G131" s="62"/>
      <c r="H131" s="56"/>
      <c r="I131" s="57"/>
      <c r="J131" s="48"/>
      <c r="K131" s="58"/>
    </row>
    <row r="132" spans="1:1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</row>
    <row r="133" spans="1:15">
      <c r="B133" s="48" t="s">
        <v>91</v>
      </c>
      <c r="C133" s="57">
        <f>AVERAGE(I126:I129)</f>
        <v>0.80957892528358089</v>
      </c>
      <c r="D133" s="48"/>
      <c r="E133" s="48"/>
      <c r="F133" s="48"/>
      <c r="G133" s="48"/>
      <c r="H133" s="48"/>
      <c r="I133" s="57"/>
      <c r="J133" s="48"/>
      <c r="K133" s="57"/>
      <c r="L133" s="48"/>
      <c r="M133" s="48"/>
    </row>
    <row r="134" spans="1:15">
      <c r="B134" s="48" t="str">
        <f>C3&amp;" Debt/Equity ratio"</f>
        <v>YETI Debt/Equity ratio</v>
      </c>
      <c r="C134" s="57">
        <f>F99/F102</f>
        <v>0.18727931047868984</v>
      </c>
      <c r="D134" s="48"/>
      <c r="E134" s="48"/>
      <c r="F134" s="48"/>
      <c r="G134" s="48"/>
      <c r="H134" s="48"/>
      <c r="I134" s="61"/>
      <c r="J134" s="48"/>
      <c r="K134" s="55"/>
      <c r="L134" s="48"/>
      <c r="M134" s="48"/>
    </row>
    <row r="135" spans="1:15">
      <c r="B135" s="48" t="str">
        <f>C3&amp;" Tax Rate"</f>
        <v>YETI Tax Rate</v>
      </c>
      <c r="C135" s="55">
        <f>K126</f>
        <v>0.25</v>
      </c>
      <c r="D135" s="48"/>
      <c r="E135" s="48"/>
      <c r="F135" s="48"/>
      <c r="G135" s="48"/>
      <c r="H135" s="48"/>
      <c r="I135" s="58"/>
      <c r="J135" s="48"/>
      <c r="L135" s="48"/>
      <c r="M135" s="48"/>
    </row>
    <row r="136" spans="1:15">
      <c r="B136" s="47" t="str">
        <f>C3&amp;" Levered Beta"</f>
        <v>YETI Levered Beta</v>
      </c>
      <c r="C136" s="57">
        <f>C133*(1+(C134*(1-C135)))</f>
        <v>0.92329196246247169</v>
      </c>
      <c r="D136" s="48"/>
      <c r="E136" s="48"/>
      <c r="F136" s="48"/>
      <c r="G136" s="48"/>
      <c r="H136" s="48"/>
      <c r="I136" s="57"/>
      <c r="J136" s="48"/>
      <c r="K136" s="59"/>
      <c r="L136" s="48"/>
      <c r="M136" s="48"/>
    </row>
    <row r="138" spans="1:15">
      <c r="A138" s="1" t="s">
        <v>92</v>
      </c>
      <c r="B138" s="4" t="s">
        <v>102</v>
      </c>
      <c r="C138" s="3"/>
      <c r="D138" s="4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40" spans="1:15">
      <c r="D140" s="20"/>
    </row>
    <row r="141" spans="1:15">
      <c r="C141" s="65">
        <f>H53</f>
        <v>36.697254917816707</v>
      </c>
      <c r="D141" s="146">
        <v>0.04</v>
      </c>
      <c r="E141" s="66">
        <f>D141+0.01</f>
        <v>0.05</v>
      </c>
      <c r="F141" s="66">
        <f t="shared" ref="F141:L141" si="85">E141+0.01</f>
        <v>6.0000000000000005E-2</v>
      </c>
      <c r="G141" s="66">
        <f t="shared" si="85"/>
        <v>7.0000000000000007E-2</v>
      </c>
      <c r="H141" s="66">
        <f t="shared" si="85"/>
        <v>0.08</v>
      </c>
      <c r="I141" s="66">
        <f t="shared" si="85"/>
        <v>0.09</v>
      </c>
      <c r="J141" s="66">
        <f t="shared" si="85"/>
        <v>9.9999999999999992E-2</v>
      </c>
      <c r="K141" s="66">
        <f t="shared" si="85"/>
        <v>0.10999999999999999</v>
      </c>
      <c r="L141" s="66">
        <f t="shared" si="85"/>
        <v>0.11999999999999998</v>
      </c>
    </row>
    <row r="142" spans="1:15">
      <c r="C142" s="146">
        <v>0.01</v>
      </c>
      <c r="D142" s="147">
        <f t="dataTable" ref="D142:L147" dt2D="1" dtr="1" r1="F119" r2="H43"/>
        <v>64.02872575610408</v>
      </c>
      <c r="E142" s="147">
        <v>45.576312281243936</v>
      </c>
      <c r="F142" s="147">
        <v>34.588197104792876</v>
      </c>
      <c r="G142" s="147">
        <v>27.327161704496348</v>
      </c>
      <c r="H142" s="147">
        <v>22.191898765247583</v>
      </c>
      <c r="I142" s="147">
        <v>18.382039085449037</v>
      </c>
      <c r="J142" s="147">
        <v>15.453163088042471</v>
      </c>
      <c r="K142" s="147">
        <v>13.138807464693665</v>
      </c>
      <c r="L142" s="147">
        <v>11.269560759970176</v>
      </c>
    </row>
    <row r="143" spans="1:15">
      <c r="C143" s="146">
        <f>C142+0.005</f>
        <v>1.4999999999999999E-2</v>
      </c>
      <c r="D143" s="147">
        <v>76.210434738138972</v>
      </c>
      <c r="E143" s="147">
        <v>51.67940164936396</v>
      </c>
      <c r="F143" s="147">
        <v>38.141885005348868</v>
      </c>
      <c r="G143" s="148">
        <v>29.595994414991495</v>
      </c>
      <c r="H143" s="147">
        <v>23.73368858417982</v>
      </c>
      <c r="I143" s="147">
        <v>19.478179328860566</v>
      </c>
      <c r="J143" s="147">
        <v>16.259641278577558</v>
      </c>
      <c r="K143" s="147">
        <v>13.748370189589318</v>
      </c>
      <c r="L143" s="147">
        <v>11.740423922992617</v>
      </c>
    </row>
    <row r="144" spans="1:15">
      <c r="B144" s="64" t="s">
        <v>285</v>
      </c>
      <c r="C144" s="146">
        <f t="shared" ref="C144:C147" si="86">C143+0.005</f>
        <v>0.02</v>
      </c>
      <c r="D144" s="147">
        <v>94.482998211191344</v>
      </c>
      <c r="E144" s="147">
        <v>59.816854140190699</v>
      </c>
      <c r="F144" s="147">
        <v>42.58399488104385</v>
      </c>
      <c r="G144" s="147">
        <v>32.318593667585674</v>
      </c>
      <c r="H144" s="147">
        <v>25.532443372934104</v>
      </c>
      <c r="I144" s="147">
        <v>20.7309110356166</v>
      </c>
      <c r="J144" s="147">
        <v>17.166929242929534</v>
      </c>
      <c r="K144" s="147">
        <v>14.425662106140049</v>
      </c>
      <c r="L144" s="147">
        <v>12.258373402317307</v>
      </c>
    </row>
    <row r="145" spans="2:12">
      <c r="C145" s="146">
        <f t="shared" si="86"/>
        <v>2.5000000000000001E-2</v>
      </c>
      <c r="D145" s="147">
        <v>124.93727066627864</v>
      </c>
      <c r="E145" s="147">
        <v>71.20928762734809</v>
      </c>
      <c r="F145" s="147">
        <v>48.295279006937413</v>
      </c>
      <c r="G145" s="147">
        <v>35.646214976311889</v>
      </c>
      <c r="H145" s="147">
        <v>27.658244486916434</v>
      </c>
      <c r="I145" s="147">
        <v>22.176370697258168</v>
      </c>
      <c r="J145" s="147">
        <v>18.195188935861772</v>
      </c>
      <c r="K145" s="147">
        <v>15.182635424637919</v>
      </c>
      <c r="L145" s="147">
        <v>12.830843879465647</v>
      </c>
    </row>
    <row r="146" spans="2:12">
      <c r="B146" s="64"/>
      <c r="C146" s="146">
        <f t="shared" si="86"/>
        <v>3.0000000000000002E-2</v>
      </c>
      <c r="D146" s="147">
        <v>185.84581557645319</v>
      </c>
      <c r="E146" s="147">
        <v>88.297937858084239</v>
      </c>
      <c r="F146" s="147">
        <v>55.910324508128824</v>
      </c>
      <c r="G146" s="147">
        <v>39.805741612219663</v>
      </c>
      <c r="H146" s="147">
        <v>30.209205823695225</v>
      </c>
      <c r="I146" s="147">
        <v>23.862740302506676</v>
      </c>
      <c r="J146" s="147">
        <v>19.370342870641469</v>
      </c>
      <c r="K146" s="147">
        <v>16.034230407948026</v>
      </c>
      <c r="L146" s="147">
        <v>13.466922187408244</v>
      </c>
    </row>
    <row r="147" spans="2:12">
      <c r="C147" s="146">
        <f t="shared" si="86"/>
        <v>3.5000000000000003E-2</v>
      </c>
      <c r="D147" s="147">
        <v>368.57145030697689</v>
      </c>
      <c r="E147" s="147">
        <v>116.77902157597778</v>
      </c>
      <c r="F147" s="147">
        <v>66.571388209796794</v>
      </c>
      <c r="G147" s="147">
        <v>45.153704429815377</v>
      </c>
      <c r="H147" s="147">
        <v>33.327047457535976</v>
      </c>
      <c r="I147" s="147">
        <v>25.855722563254908</v>
      </c>
      <c r="J147" s="147">
        <v>20.726289718464205</v>
      </c>
      <c r="K147" s="147">
        <v>16.999371389032813</v>
      </c>
      <c r="L147" s="147">
        <v>14.177833237461737</v>
      </c>
    </row>
    <row r="148" spans="2:12">
      <c r="C148" s="65"/>
      <c r="D148" s="20"/>
    </row>
    <row r="149" spans="2:12">
      <c r="C149" s="65"/>
      <c r="D149" s="20"/>
    </row>
    <row r="150" spans="2:12">
      <c r="C150" s="65"/>
      <c r="D150" s="20"/>
    </row>
    <row r="151" spans="2:12" ht="14.5" thickBot="1">
      <c r="B151" s="64"/>
      <c r="C151" s="66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2:12">
      <c r="C152" s="66"/>
      <c r="D152" s="153" t="s">
        <v>287</v>
      </c>
      <c r="E152" s="153"/>
      <c r="F152" s="158"/>
      <c r="G152" s="158"/>
      <c r="H152" s="158"/>
      <c r="I152" s="20"/>
      <c r="J152" s="20"/>
      <c r="K152" s="20"/>
      <c r="L152" s="20"/>
    </row>
    <row r="153" spans="2:12">
      <c r="C153" s="66"/>
      <c r="D153" s="152"/>
      <c r="E153" s="152"/>
      <c r="F153" s="159" t="s">
        <v>289</v>
      </c>
      <c r="G153" s="159" t="s">
        <v>292</v>
      </c>
      <c r="H153" s="159" t="s">
        <v>291</v>
      </c>
      <c r="I153" s="20"/>
      <c r="J153" s="20"/>
      <c r="K153" s="20"/>
      <c r="L153" s="20"/>
    </row>
    <row r="154" spans="2:12" ht="30">
      <c r="C154" s="66"/>
      <c r="D154" s="155"/>
      <c r="E154" s="155"/>
      <c r="F154" s="149"/>
      <c r="G154" s="162" t="s">
        <v>286</v>
      </c>
      <c r="H154" s="162" t="s">
        <v>286</v>
      </c>
      <c r="I154" s="20"/>
      <c r="J154" s="20"/>
      <c r="K154" s="20"/>
      <c r="L154" s="20"/>
    </row>
    <row r="155" spans="2:12">
      <c r="D155" s="156" t="s">
        <v>288</v>
      </c>
      <c r="E155" s="156"/>
      <c r="F155" s="154"/>
      <c r="G155" s="154"/>
      <c r="H155" s="154"/>
    </row>
    <row r="156" spans="2:12">
      <c r="D156" s="155" t="s">
        <v>295</v>
      </c>
      <c r="E156" s="155"/>
      <c r="F156" s="150">
        <v>-0.05</v>
      </c>
      <c r="G156" s="160">
        <v>-0.1</v>
      </c>
      <c r="H156" s="160">
        <v>0</v>
      </c>
    </row>
    <row r="157" spans="2:12">
      <c r="D157" s="155" t="s">
        <v>296</v>
      </c>
      <c r="E157" s="155"/>
      <c r="F157" s="151">
        <v>8.6999999999999994E-3</v>
      </c>
      <c r="G157" s="161">
        <v>7.0000000000000001E-3</v>
      </c>
      <c r="H157" s="161">
        <v>1.4999999999999999E-2</v>
      </c>
    </row>
    <row r="158" spans="2:12">
      <c r="D158" s="155" t="s">
        <v>297</v>
      </c>
      <c r="E158" s="155"/>
      <c r="F158" s="183">
        <v>10</v>
      </c>
      <c r="G158" s="185">
        <v>8</v>
      </c>
      <c r="H158" s="185">
        <v>13</v>
      </c>
    </row>
    <row r="159" spans="2:12">
      <c r="D159" s="155" t="s">
        <v>298</v>
      </c>
      <c r="E159" s="155"/>
      <c r="F159" s="151">
        <v>5.7700000000000001E-2</v>
      </c>
      <c r="G159" s="161">
        <v>6.5000000000000002E-2</v>
      </c>
      <c r="H159" s="161">
        <v>0.05</v>
      </c>
    </row>
    <row r="160" spans="2:12">
      <c r="D160" s="155" t="s">
        <v>78</v>
      </c>
      <c r="E160" s="155"/>
      <c r="F160" s="186">
        <v>0.92329196246247203</v>
      </c>
      <c r="G160" s="187">
        <v>1.2</v>
      </c>
      <c r="H160" s="187">
        <v>0.85</v>
      </c>
    </row>
    <row r="161" spans="4:8">
      <c r="D161" s="156" t="s">
        <v>290</v>
      </c>
      <c r="E161" s="156"/>
      <c r="F161" s="154"/>
      <c r="G161" s="154"/>
      <c r="H161" s="154"/>
    </row>
    <row r="162" spans="4:8">
      <c r="D162" s="155" t="s">
        <v>293</v>
      </c>
      <c r="E162" s="155"/>
      <c r="F162" s="184">
        <v>36.6972549178167</v>
      </c>
      <c r="G162" s="184">
        <v>21.1345505657115</v>
      </c>
      <c r="H162" s="184">
        <v>59.082490015819999</v>
      </c>
    </row>
    <row r="163" spans="4:8" ht="14.5" thickBot="1">
      <c r="D163" s="155" t="s">
        <v>294</v>
      </c>
      <c r="E163" s="157"/>
      <c r="F163" s="163">
        <v>37.233343909916897</v>
      </c>
      <c r="G163" s="163">
        <v>24.6489558812365</v>
      </c>
      <c r="H163" s="163">
        <v>53.283703821469999</v>
      </c>
    </row>
  </sheetData>
  <scenarios current="0" sqref="H53 N53">
    <scenario name="Worst_Case" locked="1" count="5" user="David Moore" comment="Created by David Moore on 3/25/2020">
      <inputCells r="K31" val="-0.1" numFmtId="174"/>
      <inputCells r="H43" val="0.007" numFmtId="170"/>
      <inputCells r="N43" val="8" numFmtId="175"/>
      <inputCells r="F115" val="0.065" numFmtId="170"/>
      <inputCells r="F116" val="1.2" numFmtId="39"/>
    </scenario>
    <scenario name="Best_Case" locked="1" count="5" user="David Moore" comment="Created by David Moore on 3/25/2020">
      <inputCells r="K31" val="0" numFmtId="174"/>
      <inputCells r="H43" val="0.015" numFmtId="170"/>
      <inputCells r="N43" val="13" numFmtId="175"/>
      <inputCells r="F115" val="0.05" numFmtId="170"/>
      <inputCells r="F116" val="0.85" numFmtId="39"/>
    </scenario>
  </scenarios>
  <conditionalFormatting sqref="D142:L147">
    <cfRule type="colorScale" priority="1">
      <colorScale>
        <cfvo type="num" val="10"/>
        <cfvo type="num" val="21.33"/>
        <cfvo type="num" val="10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5E5C0-99C9-4553-B583-E55D0EC7E2AE}">
  <dimension ref="A1:G47"/>
  <sheetViews>
    <sheetView topLeftCell="A2" workbookViewId="0">
      <selection activeCell="B12" sqref="B12"/>
    </sheetView>
  </sheetViews>
  <sheetFormatPr defaultRowHeight="12.5"/>
  <cols>
    <col min="1" max="1" width="50" style="98" customWidth="1"/>
    <col min="2" max="2" width="12.26953125" style="98" bestFit="1" customWidth="1"/>
    <col min="3" max="3" width="12.6328125" style="98" bestFit="1" customWidth="1"/>
    <col min="4" max="6" width="12.26953125" style="98" bestFit="1" customWidth="1"/>
    <col min="7" max="196" width="12" style="98" customWidth="1"/>
    <col min="197" max="16384" width="8.7265625" style="98"/>
  </cols>
  <sheetData>
    <row r="1" spans="1:7" ht="20">
      <c r="A1" s="97" t="s">
        <v>143</v>
      </c>
    </row>
    <row r="3" spans="1:7">
      <c r="A3" s="99" t="s">
        <v>144</v>
      </c>
    </row>
    <row r="6" spans="1:7" ht="13">
      <c r="A6" s="100" t="s">
        <v>205</v>
      </c>
      <c r="B6" s="98">
        <f>YEAR(B7)</f>
        <v>2019</v>
      </c>
      <c r="C6" s="98">
        <f t="shared" ref="C6:F6" si="0">YEAR(C7)</f>
        <v>2018</v>
      </c>
      <c r="D6" s="98">
        <f t="shared" si="0"/>
        <v>2017</v>
      </c>
      <c r="E6" s="98">
        <f t="shared" si="0"/>
        <v>2016</v>
      </c>
      <c r="F6" s="98">
        <f t="shared" si="0"/>
        <v>2015</v>
      </c>
    </row>
    <row r="7" spans="1:7" ht="13">
      <c r="A7" s="101" t="s">
        <v>146</v>
      </c>
      <c r="B7" s="105" t="s">
        <v>147</v>
      </c>
      <c r="C7" s="105" t="s">
        <v>148</v>
      </c>
      <c r="D7" s="105" t="s">
        <v>149</v>
      </c>
      <c r="E7" s="105" t="s">
        <v>150</v>
      </c>
      <c r="F7" s="105" t="s">
        <v>206</v>
      </c>
      <c r="G7" s="101"/>
    </row>
    <row r="8" spans="1:7" ht="13">
      <c r="A8" s="101" t="s">
        <v>151</v>
      </c>
      <c r="B8" s="105" t="s">
        <v>152</v>
      </c>
      <c r="C8" s="105" t="s">
        <v>152</v>
      </c>
      <c r="D8" s="105" t="s">
        <v>152</v>
      </c>
      <c r="E8" s="105" t="s">
        <v>152</v>
      </c>
      <c r="F8" s="105" t="s">
        <v>152</v>
      </c>
      <c r="G8" s="101"/>
    </row>
    <row r="9" spans="1:7" ht="13">
      <c r="A9" s="101" t="s">
        <v>153</v>
      </c>
      <c r="B9" s="105" t="s">
        <v>154</v>
      </c>
      <c r="C9" s="105" t="s">
        <v>155</v>
      </c>
      <c r="D9" s="105" t="s">
        <v>154</v>
      </c>
      <c r="E9" s="105" t="s">
        <v>154</v>
      </c>
      <c r="F9" s="105" t="s">
        <v>154</v>
      </c>
      <c r="G9" s="101"/>
    </row>
    <row r="10" spans="1:7" ht="13">
      <c r="A10" s="101" t="s">
        <v>156</v>
      </c>
      <c r="B10" s="105" t="s">
        <v>157</v>
      </c>
      <c r="C10" s="105" t="s">
        <v>157</v>
      </c>
      <c r="D10" s="105" t="s">
        <v>157</v>
      </c>
      <c r="E10" s="105" t="s">
        <v>157</v>
      </c>
      <c r="F10" s="105" t="s">
        <v>157</v>
      </c>
      <c r="G10" s="101"/>
    </row>
    <row r="11" spans="1:7" ht="13">
      <c r="A11" s="101" t="s">
        <v>158</v>
      </c>
      <c r="B11" s="105" t="s">
        <v>159</v>
      </c>
      <c r="C11" s="105" t="s">
        <v>159</v>
      </c>
      <c r="D11" s="105" t="s">
        <v>159</v>
      </c>
      <c r="E11" s="105" t="s">
        <v>159</v>
      </c>
      <c r="F11" s="105" t="s">
        <v>159</v>
      </c>
      <c r="G11" s="101"/>
    </row>
    <row r="12" spans="1:7">
      <c r="A12" s="102" t="s">
        <v>42</v>
      </c>
      <c r="B12" s="103">
        <v>913734</v>
      </c>
      <c r="C12" s="103">
        <v>778833</v>
      </c>
      <c r="D12" s="103">
        <v>639239</v>
      </c>
      <c r="E12" s="103">
        <v>818914</v>
      </c>
      <c r="F12" s="103">
        <v>468946</v>
      </c>
      <c r="G12" s="102"/>
    </row>
    <row r="13" spans="1:7">
      <c r="A13" s="102" t="s">
        <v>41</v>
      </c>
      <c r="B13" s="103">
        <v>438420</v>
      </c>
      <c r="C13" s="103">
        <v>395705</v>
      </c>
      <c r="D13" s="103">
        <v>344638</v>
      </c>
      <c r="E13" s="103">
        <v>404953</v>
      </c>
      <c r="F13" s="103">
        <v>250245</v>
      </c>
      <c r="G13" s="102"/>
    </row>
    <row r="14" spans="1:7">
      <c r="A14" s="102" t="s">
        <v>207</v>
      </c>
      <c r="B14" s="103">
        <v>475314</v>
      </c>
      <c r="C14" s="103">
        <v>383128</v>
      </c>
      <c r="D14" s="103">
        <v>294601</v>
      </c>
      <c r="E14" s="103">
        <v>413961</v>
      </c>
      <c r="F14" s="103">
        <v>218701</v>
      </c>
      <c r="G14" s="102"/>
    </row>
    <row r="15" spans="1:7">
      <c r="A15" s="102" t="s">
        <v>208</v>
      </c>
      <c r="B15" s="103">
        <v>385543</v>
      </c>
      <c r="C15" s="103">
        <v>280972</v>
      </c>
      <c r="D15" s="103">
        <v>230634</v>
      </c>
      <c r="E15" s="103">
        <v>325754</v>
      </c>
      <c r="F15" s="103">
        <v>90791</v>
      </c>
      <c r="G15" s="102"/>
    </row>
    <row r="16" spans="1:7">
      <c r="A16" s="102" t="s">
        <v>209</v>
      </c>
      <c r="B16" s="103">
        <v>89771</v>
      </c>
      <c r="C16" s="103">
        <v>102156</v>
      </c>
      <c r="D16" s="103">
        <v>63967</v>
      </c>
      <c r="E16" s="103">
        <v>88207</v>
      </c>
      <c r="F16" s="103">
        <v>127910</v>
      </c>
      <c r="G16" s="102"/>
    </row>
    <row r="17" spans="1:7">
      <c r="A17" s="102" t="s">
        <v>210</v>
      </c>
      <c r="B17" s="103">
        <v>21779</v>
      </c>
      <c r="C17" s="103">
        <v>31280</v>
      </c>
      <c r="D17" s="103">
        <v>32607</v>
      </c>
      <c r="E17" s="103">
        <v>21680</v>
      </c>
      <c r="F17" s="103">
        <v>6075</v>
      </c>
      <c r="G17" s="102"/>
    </row>
    <row r="18" spans="1:7">
      <c r="A18" s="102" t="s">
        <v>211</v>
      </c>
      <c r="B18" s="103">
        <v>-734</v>
      </c>
      <c r="C18" s="103">
        <v>-1261</v>
      </c>
      <c r="D18" s="103">
        <v>699</v>
      </c>
      <c r="E18" s="103">
        <v>-1242</v>
      </c>
      <c r="F18" s="103">
        <v>-6474</v>
      </c>
      <c r="G18" s="102"/>
    </row>
    <row r="19" spans="1:7">
      <c r="A19" s="102" t="s">
        <v>212</v>
      </c>
      <c r="B19" s="103">
        <v>65469</v>
      </c>
      <c r="C19" s="103">
        <v>69209</v>
      </c>
      <c r="D19" s="104" t="s">
        <v>166</v>
      </c>
      <c r="E19" s="104" t="s">
        <v>166</v>
      </c>
      <c r="F19" s="104" t="s">
        <v>166</v>
      </c>
      <c r="G19" s="102"/>
    </row>
    <row r="20" spans="1:7">
      <c r="A20" s="102" t="s">
        <v>213</v>
      </c>
      <c r="B20" s="103">
        <v>1789</v>
      </c>
      <c r="C20" s="103">
        <v>406</v>
      </c>
      <c r="D20" s="104" t="s">
        <v>166</v>
      </c>
      <c r="E20" s="104" t="s">
        <v>166</v>
      </c>
      <c r="F20" s="104" t="s">
        <v>166</v>
      </c>
      <c r="G20" s="102"/>
    </row>
    <row r="21" spans="1:7">
      <c r="A21" s="102" t="s">
        <v>214</v>
      </c>
      <c r="B21" s="103">
        <v>67258</v>
      </c>
      <c r="C21" s="103">
        <v>69615</v>
      </c>
      <c r="D21" s="103">
        <v>32059</v>
      </c>
      <c r="E21" s="103">
        <v>65285</v>
      </c>
      <c r="F21" s="103">
        <v>115361</v>
      </c>
      <c r="G21" s="102"/>
    </row>
    <row r="22" spans="1:7">
      <c r="A22" s="102" t="s">
        <v>215</v>
      </c>
      <c r="B22" s="103">
        <v>627</v>
      </c>
      <c r="C22" s="103">
        <v>7190</v>
      </c>
      <c r="D22" s="103">
        <v>7440</v>
      </c>
      <c r="E22" s="103">
        <v>37406</v>
      </c>
      <c r="F22" s="103">
        <v>41767</v>
      </c>
      <c r="G22" s="102"/>
    </row>
    <row r="23" spans="1:7">
      <c r="A23" s="102" t="s">
        <v>216</v>
      </c>
      <c r="B23" s="103">
        <v>1505</v>
      </c>
      <c r="C23" s="103">
        <v>2316</v>
      </c>
      <c r="D23" s="103">
        <v>379</v>
      </c>
      <c r="E23" s="103">
        <v>17</v>
      </c>
      <c r="F23" s="103">
        <v>1036</v>
      </c>
      <c r="G23" s="102"/>
    </row>
    <row r="24" spans="1:7">
      <c r="A24" s="102" t="s">
        <v>217</v>
      </c>
      <c r="B24" s="103">
        <v>526</v>
      </c>
      <c r="C24" s="103">
        <v>247</v>
      </c>
      <c r="D24" s="103">
        <v>46</v>
      </c>
      <c r="E24" s="104" t="s">
        <v>166</v>
      </c>
      <c r="F24" s="104" t="s">
        <v>166</v>
      </c>
      <c r="G24" s="102"/>
    </row>
    <row r="25" spans="1:7">
      <c r="A25" s="102" t="s">
        <v>218</v>
      </c>
      <c r="B25" s="103">
        <v>2658</v>
      </c>
      <c r="C25" s="103">
        <v>9753</v>
      </c>
      <c r="D25" s="103">
        <v>7865</v>
      </c>
      <c r="E25" s="103">
        <v>37423</v>
      </c>
      <c r="F25" s="103">
        <v>42803</v>
      </c>
      <c r="G25" s="102"/>
    </row>
    <row r="26" spans="1:7">
      <c r="A26" s="102" t="s">
        <v>219</v>
      </c>
      <c r="B26" s="103">
        <v>12911</v>
      </c>
      <c r="C26" s="103">
        <v>3298</v>
      </c>
      <c r="D26" s="103">
        <v>8915</v>
      </c>
      <c r="E26" s="103">
        <v>-19960</v>
      </c>
      <c r="F26" s="103">
        <v>-1554</v>
      </c>
      <c r="G26" s="102"/>
    </row>
    <row r="27" spans="1:7">
      <c r="A27" s="102" t="s">
        <v>220</v>
      </c>
      <c r="B27" s="103">
        <v>1304</v>
      </c>
      <c r="C27" s="103">
        <v>-1172</v>
      </c>
      <c r="D27" s="103">
        <v>-114</v>
      </c>
      <c r="E27" s="103">
        <v>-966</v>
      </c>
      <c r="F27" s="103">
        <v>-110</v>
      </c>
      <c r="G27" s="102"/>
    </row>
    <row r="28" spans="1:7">
      <c r="A28" s="102" t="s">
        <v>221</v>
      </c>
      <c r="B28" s="103">
        <v>-49</v>
      </c>
      <c r="C28" s="103">
        <v>-27</v>
      </c>
      <c r="D28" s="103">
        <v>-8</v>
      </c>
      <c r="E28" s="104" t="s">
        <v>166</v>
      </c>
      <c r="F28" s="104" t="s">
        <v>166</v>
      </c>
      <c r="G28" s="102"/>
    </row>
    <row r="29" spans="1:7">
      <c r="A29" s="102" t="s">
        <v>48</v>
      </c>
      <c r="B29" s="103">
        <v>14166</v>
      </c>
      <c r="C29" s="103">
        <v>2099</v>
      </c>
      <c r="D29" s="103">
        <v>8793</v>
      </c>
      <c r="E29" s="103">
        <v>-20926</v>
      </c>
      <c r="F29" s="103">
        <v>-1664</v>
      </c>
      <c r="G29" s="102"/>
    </row>
    <row r="30" spans="1:7">
      <c r="A30" s="102" t="s">
        <v>222</v>
      </c>
      <c r="B30" s="103">
        <v>16824</v>
      </c>
      <c r="C30" s="103">
        <v>11852</v>
      </c>
      <c r="D30" s="103">
        <v>16658</v>
      </c>
      <c r="E30" s="103">
        <v>16497</v>
      </c>
      <c r="F30" s="103">
        <v>41139</v>
      </c>
      <c r="G30" s="102"/>
    </row>
    <row r="31" spans="1:7">
      <c r="A31" s="102" t="s">
        <v>223</v>
      </c>
      <c r="B31" s="103">
        <v>50434</v>
      </c>
      <c r="C31" s="103">
        <v>57763</v>
      </c>
      <c r="D31" s="103">
        <v>15401</v>
      </c>
      <c r="E31" s="103">
        <v>48788</v>
      </c>
      <c r="F31" s="103">
        <v>74222</v>
      </c>
      <c r="G31" s="102"/>
    </row>
    <row r="32" spans="1:7">
      <c r="A32" s="102" t="s">
        <v>224</v>
      </c>
      <c r="B32" s="104" t="s">
        <v>166</v>
      </c>
      <c r="C32" s="104" t="s">
        <v>166</v>
      </c>
      <c r="D32" s="104" t="s">
        <v>166</v>
      </c>
      <c r="E32" s="103">
        <v>-811</v>
      </c>
      <c r="F32" s="104" t="s">
        <v>166</v>
      </c>
      <c r="G32" s="102"/>
    </row>
    <row r="33" spans="1:7">
      <c r="A33" s="102" t="s">
        <v>225</v>
      </c>
      <c r="B33" s="104" t="s">
        <v>166</v>
      </c>
      <c r="C33" s="103">
        <v>57763</v>
      </c>
      <c r="D33" s="103">
        <v>15401</v>
      </c>
      <c r="E33" s="103">
        <v>47977</v>
      </c>
      <c r="F33" s="103">
        <v>74222</v>
      </c>
      <c r="G33" s="102"/>
    </row>
    <row r="34" spans="1:7">
      <c r="A34" s="102" t="s">
        <v>226</v>
      </c>
      <c r="B34" s="103">
        <v>85088</v>
      </c>
      <c r="C34" s="103">
        <v>81777</v>
      </c>
      <c r="D34" s="103">
        <v>81479</v>
      </c>
      <c r="E34" s="103">
        <v>81097</v>
      </c>
      <c r="F34" s="103">
        <v>79775</v>
      </c>
      <c r="G34" s="102"/>
    </row>
    <row r="35" spans="1:7">
      <c r="A35" s="102" t="s">
        <v>227</v>
      </c>
      <c r="B35" s="103">
        <v>86347</v>
      </c>
      <c r="C35" s="103">
        <v>83519</v>
      </c>
      <c r="D35" s="103">
        <v>82972</v>
      </c>
      <c r="E35" s="103">
        <v>82755</v>
      </c>
      <c r="F35" s="103">
        <v>80665</v>
      </c>
      <c r="G35" s="102"/>
    </row>
    <row r="36" spans="1:7">
      <c r="A36" s="102" t="s">
        <v>44</v>
      </c>
      <c r="B36" s="103">
        <v>86774</v>
      </c>
      <c r="C36" s="103">
        <v>84196</v>
      </c>
      <c r="D36" s="103">
        <v>81535</v>
      </c>
      <c r="E36" s="103">
        <v>81437</v>
      </c>
      <c r="F36" s="103">
        <v>80020</v>
      </c>
      <c r="G36" s="102"/>
    </row>
    <row r="37" spans="1:7">
      <c r="A37" s="102" t="s">
        <v>228</v>
      </c>
      <c r="B37" s="106">
        <v>0.59</v>
      </c>
      <c r="C37" s="106">
        <v>0.71</v>
      </c>
      <c r="D37" s="106">
        <v>0.19</v>
      </c>
      <c r="E37" s="106">
        <v>0.59</v>
      </c>
      <c r="F37" s="106">
        <v>0.93</v>
      </c>
      <c r="G37" s="102"/>
    </row>
    <row r="38" spans="1:7">
      <c r="A38" s="102" t="s">
        <v>229</v>
      </c>
      <c r="B38" s="106">
        <v>0.57999999999999996</v>
      </c>
      <c r="C38" s="106">
        <v>0.69</v>
      </c>
      <c r="D38" s="106">
        <v>0.19</v>
      </c>
      <c r="E38" s="106">
        <v>0.57999999999999996</v>
      </c>
      <c r="F38" s="106">
        <v>0.92</v>
      </c>
      <c r="G38" s="102"/>
    </row>
    <row r="39" spans="1:7">
      <c r="A39" s="102" t="s">
        <v>230</v>
      </c>
      <c r="B39" s="103">
        <v>790</v>
      </c>
      <c r="C39" s="103">
        <v>647</v>
      </c>
      <c r="D39" s="103">
        <v>565</v>
      </c>
      <c r="E39" s="104" t="s">
        <v>166</v>
      </c>
      <c r="F39" s="104" t="s">
        <v>166</v>
      </c>
      <c r="G39" s="102"/>
    </row>
    <row r="40" spans="1:7">
      <c r="A40" s="102" t="s">
        <v>231</v>
      </c>
      <c r="B40" s="103">
        <v>32</v>
      </c>
      <c r="C40" s="103">
        <v>26</v>
      </c>
      <c r="D40" s="103">
        <v>27</v>
      </c>
      <c r="E40" s="104" t="s">
        <v>166</v>
      </c>
      <c r="F40" s="104" t="s">
        <v>166</v>
      </c>
      <c r="G40" s="102"/>
    </row>
    <row r="41" spans="1:7">
      <c r="A41" s="102" t="s">
        <v>232</v>
      </c>
      <c r="B41" s="103">
        <v>98</v>
      </c>
      <c r="C41" s="103">
        <v>-137</v>
      </c>
      <c r="D41" s="104" t="s">
        <v>166</v>
      </c>
      <c r="E41" s="104" t="s">
        <v>166</v>
      </c>
      <c r="F41" s="104" t="s">
        <v>166</v>
      </c>
      <c r="G41" s="102"/>
    </row>
    <row r="44" spans="1:7" ht="14">
      <c r="A44" s="8" t="s">
        <v>36</v>
      </c>
      <c r="B44" s="103">
        <v>28959</v>
      </c>
      <c r="C44" s="103">
        <v>24777</v>
      </c>
      <c r="D44" s="103">
        <v>20769</v>
      </c>
      <c r="E44" s="103">
        <v>11670</v>
      </c>
      <c r="F44" s="103">
        <v>7531</v>
      </c>
    </row>
    <row r="45" spans="1:7" ht="14">
      <c r="A45" s="8" t="s">
        <v>35</v>
      </c>
      <c r="B45" s="103">
        <v>-48691</v>
      </c>
      <c r="C45" s="103">
        <v>-31887</v>
      </c>
      <c r="D45" s="103">
        <v>-37271</v>
      </c>
      <c r="E45" s="103">
        <v>-60296</v>
      </c>
      <c r="F45" s="103">
        <v>-10902</v>
      </c>
    </row>
    <row r="46" spans="1:7">
      <c r="B46" s="103"/>
      <c r="C46" s="103"/>
      <c r="D46" s="103"/>
      <c r="E46" s="103"/>
      <c r="F46" s="103"/>
    </row>
    <row r="47" spans="1:7">
      <c r="B47" s="103"/>
      <c r="C47" s="103"/>
      <c r="D47" s="103"/>
      <c r="E47" s="103"/>
      <c r="F47" s="10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03F2-F033-43A7-B6D0-65E4F17E07E9}">
  <dimension ref="A1:F69"/>
  <sheetViews>
    <sheetView workbookViewId="0">
      <selection activeCell="C45" sqref="C45"/>
    </sheetView>
  </sheetViews>
  <sheetFormatPr defaultRowHeight="12.5"/>
  <cols>
    <col min="1" max="1" width="30" style="98" customWidth="1"/>
    <col min="2" max="2" width="12.26953125" style="98" bestFit="1" customWidth="1"/>
    <col min="3" max="3" width="12.6328125" style="98" bestFit="1" customWidth="1"/>
    <col min="4" max="5" width="12.26953125" style="98" bestFit="1" customWidth="1"/>
    <col min="6" max="16384" width="8.7265625" style="98"/>
  </cols>
  <sheetData>
    <row r="1" spans="1:6" ht="20">
      <c r="A1" s="97" t="s">
        <v>143</v>
      </c>
    </row>
    <row r="3" spans="1:6" ht="25">
      <c r="A3" s="99" t="s">
        <v>144</v>
      </c>
    </row>
    <row r="6" spans="1:6" ht="26">
      <c r="A6" s="100" t="s">
        <v>145</v>
      </c>
      <c r="B6" s="98">
        <f>YEAR(B7)</f>
        <v>2019</v>
      </c>
      <c r="C6" s="98">
        <f t="shared" ref="C6:E6" si="0">YEAR(C7)</f>
        <v>2018</v>
      </c>
      <c r="D6" s="98">
        <f t="shared" si="0"/>
        <v>2017</v>
      </c>
      <c r="E6" s="98">
        <f t="shared" si="0"/>
        <v>2016</v>
      </c>
    </row>
    <row r="7" spans="1:6" ht="13">
      <c r="A7" s="101" t="s">
        <v>146</v>
      </c>
      <c r="B7" s="105" t="s">
        <v>147</v>
      </c>
      <c r="C7" s="105" t="s">
        <v>148</v>
      </c>
      <c r="D7" s="105" t="s">
        <v>149</v>
      </c>
      <c r="E7" s="105" t="s">
        <v>150</v>
      </c>
      <c r="F7" s="101"/>
    </row>
    <row r="8" spans="1:6" ht="13">
      <c r="A8" s="101" t="s">
        <v>151</v>
      </c>
      <c r="B8" s="105" t="s">
        <v>152</v>
      </c>
      <c r="C8" s="105" t="s">
        <v>152</v>
      </c>
      <c r="D8" s="105" t="s">
        <v>152</v>
      </c>
      <c r="E8" s="105" t="s">
        <v>152</v>
      </c>
      <c r="F8" s="101"/>
    </row>
    <row r="9" spans="1:6" ht="13">
      <c r="A9" s="101" t="s">
        <v>153</v>
      </c>
      <c r="B9" s="105" t="s">
        <v>154</v>
      </c>
      <c r="C9" s="105" t="s">
        <v>155</v>
      </c>
      <c r="D9" s="105" t="s">
        <v>154</v>
      </c>
      <c r="E9" s="105" t="s">
        <v>154</v>
      </c>
      <c r="F9" s="101"/>
    </row>
    <row r="10" spans="1:6" ht="13">
      <c r="A10" s="101" t="s">
        <v>156</v>
      </c>
      <c r="B10" s="105" t="s">
        <v>157</v>
      </c>
      <c r="C10" s="105" t="s">
        <v>157</v>
      </c>
      <c r="D10" s="105" t="s">
        <v>157</v>
      </c>
      <c r="E10" s="105" t="s">
        <v>157</v>
      </c>
      <c r="F10" s="101"/>
    </row>
    <row r="11" spans="1:6" ht="13">
      <c r="A11" s="101" t="s">
        <v>158</v>
      </c>
      <c r="B11" s="105" t="s">
        <v>159</v>
      </c>
      <c r="C11" s="105" t="s">
        <v>159</v>
      </c>
      <c r="D11" s="105" t="s">
        <v>159</v>
      </c>
      <c r="E11" s="105" t="s">
        <v>159</v>
      </c>
      <c r="F11" s="101"/>
    </row>
    <row r="12" spans="1:6">
      <c r="A12" s="102" t="s">
        <v>160</v>
      </c>
      <c r="B12" s="103">
        <v>72515</v>
      </c>
      <c r="C12" s="103">
        <v>80051</v>
      </c>
      <c r="D12" s="103">
        <v>53650</v>
      </c>
      <c r="E12" s="103">
        <v>21291</v>
      </c>
      <c r="F12" s="102"/>
    </row>
    <row r="13" spans="1:6">
      <c r="A13" s="102" t="s">
        <v>161</v>
      </c>
      <c r="B13" s="103">
        <v>82688</v>
      </c>
      <c r="C13" s="103">
        <v>59428</v>
      </c>
      <c r="D13" s="103">
        <v>67252</v>
      </c>
      <c r="E13" s="103">
        <v>37704</v>
      </c>
      <c r="F13" s="102"/>
    </row>
    <row r="14" spans="1:6">
      <c r="A14" s="102" t="s">
        <v>162</v>
      </c>
      <c r="B14" s="103">
        <v>0</v>
      </c>
      <c r="C14" s="103">
        <v>100</v>
      </c>
      <c r="D14" s="103">
        <v>100</v>
      </c>
      <c r="E14" s="103">
        <v>500</v>
      </c>
      <c r="F14" s="102"/>
    </row>
    <row r="15" spans="1:6">
      <c r="A15" s="102" t="s">
        <v>163</v>
      </c>
      <c r="B15" s="103">
        <v>82688</v>
      </c>
      <c r="C15" s="103">
        <v>59328</v>
      </c>
      <c r="D15" s="103">
        <v>67152</v>
      </c>
      <c r="E15" s="103">
        <v>37204</v>
      </c>
      <c r="F15" s="102"/>
    </row>
    <row r="16" spans="1:6">
      <c r="A16" s="102" t="s">
        <v>164</v>
      </c>
      <c r="B16" s="103">
        <v>185700</v>
      </c>
      <c r="C16" s="103">
        <v>145423</v>
      </c>
      <c r="D16" s="103">
        <v>175098</v>
      </c>
      <c r="E16" s="103">
        <v>246119</v>
      </c>
      <c r="F16" s="102"/>
    </row>
    <row r="17" spans="1:6">
      <c r="A17" s="102" t="s">
        <v>165</v>
      </c>
      <c r="B17" s="104" t="s">
        <v>166</v>
      </c>
      <c r="C17" s="104" t="s">
        <v>166</v>
      </c>
      <c r="D17" s="103">
        <v>170</v>
      </c>
      <c r="E17" s="103">
        <v>16234</v>
      </c>
      <c r="F17" s="102"/>
    </row>
    <row r="18" spans="1:6">
      <c r="A18" s="102" t="s">
        <v>47</v>
      </c>
      <c r="B18" s="103">
        <v>19644</v>
      </c>
      <c r="C18" s="103">
        <v>12211</v>
      </c>
      <c r="D18" s="103">
        <v>6964</v>
      </c>
      <c r="E18" s="103">
        <v>10162</v>
      </c>
      <c r="F18" s="102"/>
    </row>
    <row r="19" spans="1:6">
      <c r="A19" s="102" t="s">
        <v>14</v>
      </c>
      <c r="B19" s="103">
        <v>360547</v>
      </c>
      <c r="C19" s="103">
        <v>297013</v>
      </c>
      <c r="D19" s="103">
        <v>303034</v>
      </c>
      <c r="E19" s="103">
        <v>331010</v>
      </c>
      <c r="F19" s="102"/>
    </row>
    <row r="20" spans="1:6">
      <c r="A20" s="102" t="s">
        <v>167</v>
      </c>
      <c r="B20" s="103">
        <v>56375</v>
      </c>
      <c r="C20" s="103">
        <v>45614</v>
      </c>
      <c r="D20" s="103">
        <v>41188</v>
      </c>
      <c r="E20" s="103">
        <v>22766</v>
      </c>
      <c r="F20" s="102"/>
    </row>
    <row r="21" spans="1:6">
      <c r="A21" s="102" t="s">
        <v>168</v>
      </c>
      <c r="B21" s="103">
        <v>7721</v>
      </c>
      <c r="C21" s="103">
        <v>5752</v>
      </c>
      <c r="D21" s="103">
        <v>5590</v>
      </c>
      <c r="E21" s="103">
        <v>8378</v>
      </c>
      <c r="F21" s="102"/>
    </row>
    <row r="22" spans="1:6">
      <c r="A22" s="102" t="s">
        <v>169</v>
      </c>
      <c r="B22" s="103">
        <v>52930</v>
      </c>
      <c r="C22" s="103">
        <v>41209</v>
      </c>
      <c r="D22" s="103">
        <v>28774</v>
      </c>
      <c r="E22" s="103">
        <v>20207</v>
      </c>
      <c r="F22" s="102"/>
    </row>
    <row r="23" spans="1:6">
      <c r="A23" s="102" t="s">
        <v>170</v>
      </c>
      <c r="B23" s="103">
        <v>35419</v>
      </c>
      <c r="C23" s="103">
        <v>29079</v>
      </c>
      <c r="D23" s="103">
        <v>26154</v>
      </c>
      <c r="E23" s="103">
        <v>9182</v>
      </c>
      <c r="F23" s="102"/>
    </row>
    <row r="24" spans="1:6">
      <c r="A24" s="102" t="s">
        <v>171</v>
      </c>
      <c r="B24" s="103">
        <v>1208</v>
      </c>
      <c r="C24" s="104" t="s">
        <v>166</v>
      </c>
      <c r="D24" s="104" t="s">
        <v>166</v>
      </c>
      <c r="E24" s="104" t="s">
        <v>166</v>
      </c>
      <c r="F24" s="102"/>
    </row>
    <row r="25" spans="1:6">
      <c r="A25" s="102" t="s">
        <v>172</v>
      </c>
      <c r="B25" s="103">
        <v>153653</v>
      </c>
      <c r="C25" s="103">
        <v>121654</v>
      </c>
      <c r="D25" s="103">
        <v>101706</v>
      </c>
      <c r="E25" s="103">
        <v>60533</v>
      </c>
      <c r="F25" s="102"/>
    </row>
    <row r="26" spans="1:6">
      <c r="A26" s="102" t="s">
        <v>173</v>
      </c>
      <c r="B26" s="103">
        <v>71043</v>
      </c>
      <c r="C26" s="103">
        <v>47557</v>
      </c>
      <c r="D26" s="103">
        <v>27923</v>
      </c>
      <c r="E26" s="103">
        <v>13443</v>
      </c>
      <c r="F26" s="102"/>
    </row>
    <row r="27" spans="1:6">
      <c r="A27" s="102" t="s">
        <v>174</v>
      </c>
      <c r="B27" s="103">
        <v>82610</v>
      </c>
      <c r="C27" s="103">
        <v>74097</v>
      </c>
      <c r="D27" s="103">
        <v>73783</v>
      </c>
      <c r="E27" s="103">
        <v>47090</v>
      </c>
      <c r="F27" s="102"/>
    </row>
    <row r="28" spans="1:6">
      <c r="A28" s="102" t="s">
        <v>175</v>
      </c>
      <c r="B28" s="103">
        <v>37768</v>
      </c>
      <c r="C28" s="104" t="s">
        <v>166</v>
      </c>
      <c r="D28" s="104" t="s">
        <v>166</v>
      </c>
      <c r="E28" s="104" t="s">
        <v>166</v>
      </c>
      <c r="F28" s="102"/>
    </row>
    <row r="29" spans="1:6">
      <c r="A29" s="102" t="s">
        <v>56</v>
      </c>
      <c r="B29" s="103">
        <v>54293</v>
      </c>
      <c r="C29" s="103">
        <v>54293</v>
      </c>
      <c r="D29" s="103">
        <v>54293</v>
      </c>
      <c r="E29" s="103">
        <v>50683</v>
      </c>
      <c r="F29" s="102"/>
    </row>
    <row r="30" spans="1:6">
      <c r="A30" s="102" t="s">
        <v>55</v>
      </c>
      <c r="B30" s="103">
        <v>90850</v>
      </c>
      <c r="C30" s="103">
        <v>80019</v>
      </c>
      <c r="D30" s="103">
        <v>74302</v>
      </c>
      <c r="E30" s="103">
        <v>87781</v>
      </c>
      <c r="F30" s="102"/>
    </row>
    <row r="31" spans="1:6">
      <c r="A31" s="102" t="s">
        <v>48</v>
      </c>
      <c r="B31" s="103">
        <v>1082</v>
      </c>
      <c r="C31" s="103">
        <v>7777</v>
      </c>
      <c r="D31" s="103">
        <v>10004</v>
      </c>
      <c r="E31" s="103">
        <v>13377</v>
      </c>
      <c r="F31" s="102"/>
    </row>
    <row r="32" spans="1:6">
      <c r="A32" s="102" t="s">
        <v>176</v>
      </c>
      <c r="B32" s="103">
        <v>2389</v>
      </c>
      <c r="C32" s="103">
        <v>1014</v>
      </c>
      <c r="D32" s="103">
        <v>1011</v>
      </c>
      <c r="E32" s="103">
        <v>6166</v>
      </c>
      <c r="F32" s="102"/>
    </row>
    <row r="33" spans="1:6">
      <c r="A33" s="102" t="s">
        <v>54</v>
      </c>
      <c r="B33" s="103">
        <v>629539</v>
      </c>
      <c r="C33" s="103">
        <v>514213</v>
      </c>
      <c r="D33" s="103">
        <v>516427</v>
      </c>
      <c r="E33" s="103">
        <v>536107</v>
      </c>
      <c r="F33" s="102"/>
    </row>
    <row r="34" spans="1:6">
      <c r="A34" s="102" t="s">
        <v>46</v>
      </c>
      <c r="B34" s="103">
        <v>83823</v>
      </c>
      <c r="C34" s="103">
        <v>68737</v>
      </c>
      <c r="D34" s="103">
        <v>40342</v>
      </c>
      <c r="E34" s="103">
        <v>19379</v>
      </c>
      <c r="F34" s="102"/>
    </row>
    <row r="35" spans="1:6">
      <c r="A35" s="102" t="s">
        <v>177</v>
      </c>
      <c r="B35" s="103">
        <v>12454</v>
      </c>
      <c r="C35" s="104" t="s">
        <v>166</v>
      </c>
      <c r="D35" s="104" t="s">
        <v>166</v>
      </c>
      <c r="E35" s="104" t="s">
        <v>166</v>
      </c>
      <c r="F35" s="102"/>
    </row>
    <row r="36" spans="1:6">
      <c r="A36" s="102" t="s">
        <v>178</v>
      </c>
      <c r="B36" s="103">
        <v>4499</v>
      </c>
      <c r="C36" s="104" t="s">
        <v>166</v>
      </c>
      <c r="D36" s="104" t="s">
        <v>166</v>
      </c>
      <c r="E36" s="104" t="s">
        <v>166</v>
      </c>
      <c r="F36" s="102"/>
    </row>
    <row r="37" spans="1:6">
      <c r="A37" s="102" t="s">
        <v>179</v>
      </c>
      <c r="B37" s="103">
        <v>6976</v>
      </c>
      <c r="C37" s="104" t="s">
        <v>166</v>
      </c>
      <c r="D37" s="104" t="s">
        <v>166</v>
      </c>
      <c r="E37" s="104" t="s">
        <v>166</v>
      </c>
      <c r="F37" s="102"/>
    </row>
    <row r="38" spans="1:6">
      <c r="A38" s="102" t="s">
        <v>180</v>
      </c>
      <c r="B38" s="103">
        <v>3300</v>
      </c>
      <c r="C38" s="104" t="s">
        <v>166</v>
      </c>
      <c r="D38" s="104" t="s">
        <v>166</v>
      </c>
      <c r="E38" s="104" t="s">
        <v>166</v>
      </c>
      <c r="F38" s="102"/>
    </row>
    <row r="39" spans="1:6">
      <c r="A39" s="102" t="s">
        <v>181</v>
      </c>
      <c r="B39" s="103">
        <v>6584</v>
      </c>
      <c r="C39" s="104" t="s">
        <v>166</v>
      </c>
      <c r="D39" s="104" t="s">
        <v>166</v>
      </c>
      <c r="E39" s="104" t="s">
        <v>166</v>
      </c>
      <c r="F39" s="102"/>
    </row>
    <row r="40" spans="1:6">
      <c r="A40" s="102" t="s">
        <v>182</v>
      </c>
      <c r="B40" s="103">
        <v>420</v>
      </c>
      <c r="C40" s="104" t="s">
        <v>166</v>
      </c>
      <c r="D40" s="104" t="s">
        <v>166</v>
      </c>
      <c r="E40" s="104" t="s">
        <v>166</v>
      </c>
      <c r="F40" s="102"/>
    </row>
    <row r="41" spans="1:6">
      <c r="A41" s="102" t="s">
        <v>183</v>
      </c>
      <c r="B41" s="103">
        <v>7855</v>
      </c>
      <c r="C41" s="104" t="s">
        <v>166</v>
      </c>
      <c r="D41" s="104" t="s">
        <v>166</v>
      </c>
      <c r="E41" s="104" t="s">
        <v>166</v>
      </c>
      <c r="F41" s="102"/>
    </row>
    <row r="42" spans="1:6">
      <c r="A42" s="102" t="s">
        <v>184</v>
      </c>
      <c r="B42" s="103">
        <v>42088</v>
      </c>
      <c r="C42" s="103">
        <v>53022</v>
      </c>
      <c r="D42" s="104" t="s">
        <v>166</v>
      </c>
      <c r="E42" s="104" t="s">
        <v>166</v>
      </c>
      <c r="F42" s="102"/>
    </row>
    <row r="43" spans="1:6">
      <c r="A43" s="102" t="s">
        <v>185</v>
      </c>
      <c r="B43" s="104" t="s">
        <v>166</v>
      </c>
      <c r="C43" s="104" t="s">
        <v>166</v>
      </c>
      <c r="D43" s="103">
        <v>45702</v>
      </c>
      <c r="E43" s="103">
        <v>40705</v>
      </c>
      <c r="F43" s="102"/>
    </row>
    <row r="44" spans="1:6">
      <c r="A44" s="102" t="s">
        <v>186</v>
      </c>
      <c r="B44" s="103">
        <v>18119</v>
      </c>
      <c r="C44" s="103">
        <v>15551</v>
      </c>
      <c r="D44" s="103">
        <v>6364</v>
      </c>
      <c r="E44" s="103">
        <v>6918</v>
      </c>
      <c r="F44" s="102"/>
    </row>
    <row r="45" spans="1:6">
      <c r="A45" s="102" t="s">
        <v>187</v>
      </c>
      <c r="B45" s="103">
        <v>7768</v>
      </c>
      <c r="C45" s="104"/>
      <c r="D45" s="104"/>
      <c r="E45" s="104"/>
      <c r="F45" s="102"/>
    </row>
    <row r="46" spans="1:6">
      <c r="A46" s="102" t="s">
        <v>188</v>
      </c>
      <c r="B46" s="103">
        <v>3329</v>
      </c>
      <c r="C46" s="103">
        <v>6390</v>
      </c>
      <c r="D46" s="103">
        <v>12280</v>
      </c>
      <c r="E46" s="103">
        <v>25083</v>
      </c>
      <c r="F46" s="102"/>
    </row>
    <row r="47" spans="1:6">
      <c r="A47" s="102" t="s">
        <v>189</v>
      </c>
      <c r="B47" s="103">
        <v>15185</v>
      </c>
      <c r="C47" s="103">
        <v>43638</v>
      </c>
      <c r="D47" s="103">
        <v>47050</v>
      </c>
      <c r="E47" s="103">
        <v>45550</v>
      </c>
      <c r="F47" s="102"/>
    </row>
    <row r="48" spans="1:6">
      <c r="A48" s="102" t="s">
        <v>190</v>
      </c>
      <c r="B48" s="104" t="s">
        <v>166</v>
      </c>
      <c r="C48" s="104" t="s">
        <v>166</v>
      </c>
      <c r="D48" s="103">
        <v>160</v>
      </c>
      <c r="E48" s="103">
        <v>230</v>
      </c>
      <c r="F48" s="102"/>
    </row>
    <row r="49" spans="1:6">
      <c r="A49" s="102" t="s">
        <v>12</v>
      </c>
      <c r="B49" s="103">
        <v>170312</v>
      </c>
      <c r="C49" s="103">
        <v>187338</v>
      </c>
      <c r="D49" s="103">
        <v>151898</v>
      </c>
      <c r="E49" s="103">
        <v>137865</v>
      </c>
      <c r="F49" s="102"/>
    </row>
    <row r="50" spans="1:6">
      <c r="A50" s="102" t="s">
        <v>191</v>
      </c>
      <c r="B50" s="104" t="s">
        <v>166</v>
      </c>
      <c r="C50" s="104" t="s">
        <v>166</v>
      </c>
      <c r="D50" s="104" t="s">
        <v>166</v>
      </c>
      <c r="E50" s="103">
        <v>20000</v>
      </c>
      <c r="F50" s="102"/>
    </row>
    <row r="51" spans="1:6">
      <c r="A51" s="102" t="s">
        <v>192</v>
      </c>
      <c r="B51" s="103">
        <v>300000</v>
      </c>
      <c r="C51" s="103">
        <v>331388</v>
      </c>
      <c r="D51" s="103">
        <v>481675</v>
      </c>
      <c r="E51" s="103">
        <v>527225</v>
      </c>
      <c r="F51" s="102"/>
    </row>
    <row r="52" spans="1:6">
      <c r="A52" s="102" t="s">
        <v>193</v>
      </c>
      <c r="B52" s="103">
        <v>1135</v>
      </c>
      <c r="C52" s="104" t="s">
        <v>166</v>
      </c>
      <c r="D52" s="104" t="s">
        <v>166</v>
      </c>
      <c r="E52" s="104" t="s">
        <v>166</v>
      </c>
      <c r="F52" s="102"/>
    </row>
    <row r="53" spans="1:6">
      <c r="A53" s="102" t="s">
        <v>194</v>
      </c>
      <c r="B53" s="104" t="s">
        <v>166</v>
      </c>
      <c r="C53" s="103">
        <v>1500</v>
      </c>
      <c r="D53" s="103">
        <v>3000</v>
      </c>
      <c r="E53" s="104" t="s">
        <v>166</v>
      </c>
      <c r="F53" s="102"/>
    </row>
    <row r="54" spans="1:6">
      <c r="A54" s="102" t="s">
        <v>67</v>
      </c>
      <c r="B54" s="103">
        <v>301135</v>
      </c>
      <c r="C54" s="103">
        <v>332888</v>
      </c>
      <c r="D54" s="103">
        <v>484675</v>
      </c>
      <c r="E54" s="103">
        <v>547225</v>
      </c>
      <c r="F54" s="102"/>
    </row>
    <row r="55" spans="1:6">
      <c r="A55" s="102" t="s">
        <v>189</v>
      </c>
      <c r="B55" s="103">
        <v>15000</v>
      </c>
      <c r="C55" s="103">
        <v>43638</v>
      </c>
      <c r="D55" s="103">
        <v>47050</v>
      </c>
      <c r="E55" s="103">
        <v>45550</v>
      </c>
      <c r="F55" s="102"/>
    </row>
    <row r="56" spans="1:6">
      <c r="A56" s="102" t="s">
        <v>195</v>
      </c>
      <c r="B56" s="103">
        <v>185</v>
      </c>
      <c r="C56" s="104" t="s">
        <v>166</v>
      </c>
      <c r="D56" s="104" t="s">
        <v>166</v>
      </c>
      <c r="E56" s="104" t="s">
        <v>166</v>
      </c>
      <c r="F56" s="102"/>
    </row>
    <row r="57" spans="1:6">
      <c r="A57" s="102" t="s">
        <v>196</v>
      </c>
      <c r="B57" s="103">
        <v>285950</v>
      </c>
      <c r="C57" s="103">
        <v>289250</v>
      </c>
      <c r="D57" s="103">
        <v>437625</v>
      </c>
      <c r="E57" s="103">
        <v>501675</v>
      </c>
      <c r="F57" s="102"/>
    </row>
    <row r="58" spans="1:6">
      <c r="A58" s="102" t="s">
        <v>197</v>
      </c>
      <c r="B58" s="103">
        <v>-4235</v>
      </c>
      <c r="C58" s="103">
        <v>-4874</v>
      </c>
      <c r="D58" s="103">
        <v>-8993</v>
      </c>
      <c r="E58" s="103">
        <v>-9987</v>
      </c>
      <c r="F58" s="102"/>
    </row>
    <row r="59" spans="1:6">
      <c r="A59" s="102" t="s">
        <v>198</v>
      </c>
      <c r="B59" s="103">
        <v>281715</v>
      </c>
      <c r="C59" s="103">
        <v>284376</v>
      </c>
      <c r="D59" s="103">
        <v>428632</v>
      </c>
      <c r="E59" s="103">
        <v>491688</v>
      </c>
      <c r="F59" s="102"/>
    </row>
    <row r="60" spans="1:6">
      <c r="A60" s="102" t="s">
        <v>199</v>
      </c>
      <c r="B60" s="103">
        <v>42200</v>
      </c>
      <c r="C60" s="104" t="s">
        <v>166</v>
      </c>
      <c r="D60" s="104" t="s">
        <v>166</v>
      </c>
      <c r="E60" s="104" t="s">
        <v>166</v>
      </c>
      <c r="F60" s="102"/>
    </row>
    <row r="61" spans="1:6">
      <c r="A61" s="102" t="s">
        <v>200</v>
      </c>
      <c r="B61" s="103">
        <v>13307</v>
      </c>
      <c r="C61" s="103">
        <v>13528</v>
      </c>
      <c r="D61" s="103">
        <v>12128</v>
      </c>
      <c r="E61" s="103">
        <v>1655</v>
      </c>
      <c r="F61" s="102"/>
    </row>
    <row r="62" spans="1:6">
      <c r="A62" s="102" t="s">
        <v>53</v>
      </c>
      <c r="B62" s="103">
        <v>507534</v>
      </c>
      <c r="C62" s="103">
        <v>485242</v>
      </c>
      <c r="D62" s="103">
        <v>592658</v>
      </c>
      <c r="E62" s="103">
        <v>631208</v>
      </c>
      <c r="F62" s="102"/>
    </row>
    <row r="63" spans="1:6">
      <c r="A63" s="102" t="s">
        <v>52</v>
      </c>
      <c r="B63" s="103">
        <v>868</v>
      </c>
      <c r="C63" s="103">
        <v>842</v>
      </c>
      <c r="D63" s="103">
        <v>815</v>
      </c>
      <c r="E63" s="103">
        <v>814</v>
      </c>
      <c r="F63" s="102"/>
    </row>
    <row r="64" spans="1:6">
      <c r="A64" s="102" t="s">
        <v>51</v>
      </c>
      <c r="B64" s="103">
        <v>310678</v>
      </c>
      <c r="C64" s="103">
        <v>268327</v>
      </c>
      <c r="D64" s="103">
        <v>219095</v>
      </c>
      <c r="E64" s="103">
        <v>211474</v>
      </c>
      <c r="F64" s="102"/>
    </row>
    <row r="65" spans="1:6">
      <c r="A65" s="102" t="s">
        <v>50</v>
      </c>
      <c r="B65" s="103">
        <v>-189545</v>
      </c>
      <c r="C65" s="103">
        <v>-240104</v>
      </c>
      <c r="D65" s="103">
        <v>-296184</v>
      </c>
      <c r="E65" s="103">
        <v>-309575</v>
      </c>
      <c r="F65" s="102"/>
    </row>
    <row r="66" spans="1:6">
      <c r="A66" s="102" t="s">
        <v>201</v>
      </c>
      <c r="B66" s="103">
        <v>4</v>
      </c>
      <c r="C66" s="103">
        <v>-94</v>
      </c>
      <c r="D66" s="103">
        <v>43</v>
      </c>
      <c r="E66" s="104" t="s">
        <v>166</v>
      </c>
      <c r="F66" s="102"/>
    </row>
    <row r="67" spans="1:6">
      <c r="A67" s="102" t="s">
        <v>202</v>
      </c>
      <c r="B67" s="103">
        <v>122005</v>
      </c>
      <c r="C67" s="103">
        <v>28971</v>
      </c>
      <c r="D67" s="103">
        <v>-76231</v>
      </c>
      <c r="E67" s="103">
        <v>-97287</v>
      </c>
      <c r="F67" s="102"/>
    </row>
    <row r="68" spans="1:6">
      <c r="A68" s="102" t="s">
        <v>203</v>
      </c>
      <c r="B68" s="104" t="s">
        <v>166</v>
      </c>
      <c r="C68" s="104" t="s">
        <v>166</v>
      </c>
      <c r="D68" s="104" t="s">
        <v>166</v>
      </c>
      <c r="E68" s="103">
        <v>2186</v>
      </c>
      <c r="F68" s="102"/>
    </row>
    <row r="69" spans="1:6">
      <c r="A69" s="102" t="s">
        <v>204</v>
      </c>
      <c r="B69" s="104" t="s">
        <v>166</v>
      </c>
      <c r="C69" s="103">
        <v>28971</v>
      </c>
      <c r="D69" s="103">
        <v>-76231</v>
      </c>
      <c r="E69" s="103">
        <v>-95101</v>
      </c>
      <c r="F69" s="10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F7D86-C821-4388-BC12-A88C288BBEC3}">
  <dimension ref="A1:G59"/>
  <sheetViews>
    <sheetView workbookViewId="0">
      <selection activeCell="B29" sqref="B29"/>
    </sheetView>
  </sheetViews>
  <sheetFormatPr defaultRowHeight="12.5"/>
  <cols>
    <col min="1" max="1" width="50" style="98" customWidth="1"/>
    <col min="2" max="2" width="12.26953125" style="98" bestFit="1" customWidth="1"/>
    <col min="3" max="3" width="12.6328125" style="98" bestFit="1" customWidth="1"/>
    <col min="4" max="6" width="12.26953125" style="98" bestFit="1" customWidth="1"/>
    <col min="7" max="196" width="12" style="98" customWidth="1"/>
    <col min="197" max="16384" width="8.7265625" style="98"/>
  </cols>
  <sheetData>
    <row r="1" spans="1:7" ht="20">
      <c r="A1" s="97" t="s">
        <v>143</v>
      </c>
    </row>
    <row r="3" spans="1:7">
      <c r="A3" s="99" t="s">
        <v>144</v>
      </c>
    </row>
    <row r="6" spans="1:7" ht="13">
      <c r="A6" s="100" t="s">
        <v>233</v>
      </c>
    </row>
    <row r="7" spans="1:7" ht="13">
      <c r="A7" s="101" t="s">
        <v>146</v>
      </c>
      <c r="B7" s="105" t="s">
        <v>147</v>
      </c>
      <c r="C7" s="105" t="s">
        <v>148</v>
      </c>
      <c r="D7" s="105" t="s">
        <v>149</v>
      </c>
      <c r="E7" s="105" t="s">
        <v>150</v>
      </c>
      <c r="F7" s="105" t="s">
        <v>206</v>
      </c>
      <c r="G7" s="101"/>
    </row>
    <row r="8" spans="1:7" ht="13">
      <c r="A8" s="101" t="s">
        <v>151</v>
      </c>
      <c r="B8" s="105" t="s">
        <v>152</v>
      </c>
      <c r="C8" s="105" t="s">
        <v>152</v>
      </c>
      <c r="D8" s="105" t="s">
        <v>152</v>
      </c>
      <c r="E8" s="105" t="s">
        <v>152</v>
      </c>
      <c r="F8" s="105" t="s">
        <v>152</v>
      </c>
      <c r="G8" s="101"/>
    </row>
    <row r="9" spans="1:7" ht="13">
      <c r="A9" s="101" t="s">
        <v>153</v>
      </c>
      <c r="B9" s="105" t="s">
        <v>154</v>
      </c>
      <c r="C9" s="105" t="s">
        <v>155</v>
      </c>
      <c r="D9" s="105" t="s">
        <v>154</v>
      </c>
      <c r="E9" s="105" t="s">
        <v>154</v>
      </c>
      <c r="F9" s="105" t="s">
        <v>154</v>
      </c>
      <c r="G9" s="101"/>
    </row>
    <row r="10" spans="1:7" ht="13">
      <c r="A10" s="101" t="s">
        <v>156</v>
      </c>
      <c r="B10" s="105" t="s">
        <v>157</v>
      </c>
      <c r="C10" s="105" t="s">
        <v>157</v>
      </c>
      <c r="D10" s="105" t="s">
        <v>157</v>
      </c>
      <c r="E10" s="105" t="s">
        <v>157</v>
      </c>
      <c r="F10" s="105" t="s">
        <v>157</v>
      </c>
      <c r="G10" s="101"/>
    </row>
    <row r="11" spans="1:7" ht="13">
      <c r="A11" s="101" t="s">
        <v>158</v>
      </c>
      <c r="B11" s="105" t="s">
        <v>159</v>
      </c>
      <c r="C11" s="105" t="s">
        <v>159</v>
      </c>
      <c r="D11" s="105" t="s">
        <v>159</v>
      </c>
      <c r="E11" s="105" t="s">
        <v>159</v>
      </c>
      <c r="F11" s="105" t="s">
        <v>159</v>
      </c>
      <c r="G11" s="101"/>
    </row>
    <row r="12" spans="1:7">
      <c r="A12" s="102" t="s">
        <v>223</v>
      </c>
      <c r="B12" s="103">
        <v>50434</v>
      </c>
      <c r="C12" s="103">
        <v>57763</v>
      </c>
      <c r="D12" s="103">
        <v>15401</v>
      </c>
      <c r="E12" s="103">
        <v>48788</v>
      </c>
      <c r="F12" s="103">
        <v>74222</v>
      </c>
      <c r="G12" s="102"/>
    </row>
    <row r="13" spans="1:7">
      <c r="A13" s="102" t="s">
        <v>49</v>
      </c>
      <c r="B13" s="103">
        <v>28959</v>
      </c>
      <c r="C13" s="103">
        <v>24777</v>
      </c>
      <c r="D13" s="103">
        <v>20769</v>
      </c>
      <c r="E13" s="103">
        <v>11670</v>
      </c>
      <c r="F13" s="103">
        <v>7531</v>
      </c>
      <c r="G13" s="102"/>
    </row>
    <row r="14" spans="1:7">
      <c r="A14" s="102" t="s">
        <v>234</v>
      </c>
      <c r="B14" s="103">
        <v>2189</v>
      </c>
      <c r="C14" s="103">
        <v>3425</v>
      </c>
      <c r="D14" s="103">
        <v>2950</v>
      </c>
      <c r="E14" s="103">
        <v>1822</v>
      </c>
      <c r="F14" s="103">
        <v>722</v>
      </c>
      <c r="G14" s="102"/>
    </row>
    <row r="15" spans="1:7">
      <c r="A15" s="102" t="s">
        <v>235</v>
      </c>
      <c r="B15" s="103">
        <v>52332</v>
      </c>
      <c r="C15" s="103">
        <v>13247</v>
      </c>
      <c r="D15" s="103">
        <v>13393</v>
      </c>
      <c r="E15" s="103">
        <v>118415</v>
      </c>
      <c r="F15" s="103">
        <v>624</v>
      </c>
      <c r="G15" s="102"/>
    </row>
    <row r="16" spans="1:7">
      <c r="A16" s="102" t="s">
        <v>48</v>
      </c>
      <c r="B16" s="103">
        <v>15615</v>
      </c>
      <c r="C16" s="103">
        <v>2226</v>
      </c>
      <c r="D16" s="103">
        <v>8500</v>
      </c>
      <c r="E16" s="103">
        <v>-15800</v>
      </c>
      <c r="F16" s="103">
        <v>-1664</v>
      </c>
      <c r="G16" s="102"/>
    </row>
    <row r="17" spans="1:7">
      <c r="A17" s="102" t="s">
        <v>236</v>
      </c>
      <c r="B17" s="103">
        <v>616</v>
      </c>
      <c r="C17" s="103">
        <v>2209</v>
      </c>
      <c r="D17" s="104" t="s">
        <v>166</v>
      </c>
      <c r="E17" s="104" t="s">
        <v>166</v>
      </c>
      <c r="F17" s="104" t="s">
        <v>166</v>
      </c>
      <c r="G17" s="102"/>
    </row>
    <row r="18" spans="1:7">
      <c r="A18" s="102" t="s">
        <v>237</v>
      </c>
      <c r="B18" s="104" t="s">
        <v>166</v>
      </c>
      <c r="C18" s="104" t="s">
        <v>166</v>
      </c>
      <c r="D18" s="104" t="s">
        <v>166</v>
      </c>
      <c r="E18" s="103">
        <v>-1767</v>
      </c>
      <c r="F18" s="103">
        <v>-635</v>
      </c>
      <c r="G18" s="102"/>
    </row>
    <row r="19" spans="1:7">
      <c r="A19" s="102" t="s">
        <v>238</v>
      </c>
      <c r="B19" s="104" t="s">
        <v>166</v>
      </c>
      <c r="C19" s="104" t="s">
        <v>166</v>
      </c>
      <c r="D19" s="104" t="s">
        <v>166</v>
      </c>
      <c r="E19" s="104" t="s">
        <v>166</v>
      </c>
      <c r="F19" s="103">
        <v>6474</v>
      </c>
      <c r="G19" s="102"/>
    </row>
    <row r="20" spans="1:7">
      <c r="A20" s="102" t="s">
        <v>239</v>
      </c>
      <c r="B20" s="103">
        <v>643</v>
      </c>
      <c r="C20" s="103">
        <v>694</v>
      </c>
      <c r="D20" s="104" t="s">
        <v>166</v>
      </c>
      <c r="E20" s="103">
        <v>1221</v>
      </c>
      <c r="F20" s="104" t="s">
        <v>166</v>
      </c>
      <c r="G20" s="102"/>
    </row>
    <row r="21" spans="1:7">
      <c r="A21" s="102" t="s">
        <v>240</v>
      </c>
      <c r="B21" s="104" t="s">
        <v>166</v>
      </c>
      <c r="C21" s="104" t="s">
        <v>166</v>
      </c>
      <c r="D21" s="103">
        <v>86738</v>
      </c>
      <c r="E21" s="103">
        <v>-135438</v>
      </c>
      <c r="F21" s="103">
        <v>-78649</v>
      </c>
      <c r="G21" s="102"/>
    </row>
    <row r="22" spans="1:7">
      <c r="A22" s="102" t="s">
        <v>163</v>
      </c>
      <c r="B22" s="103">
        <v>-19940</v>
      </c>
      <c r="C22" s="103">
        <v>7675</v>
      </c>
      <c r="D22" s="103">
        <v>-29909</v>
      </c>
      <c r="E22" s="103">
        <v>8828</v>
      </c>
      <c r="F22" s="103">
        <v>-47124</v>
      </c>
      <c r="G22" s="102"/>
    </row>
    <row r="23" spans="1:7">
      <c r="A23" s="102" t="s">
        <v>164</v>
      </c>
      <c r="B23" s="103">
        <v>-40541</v>
      </c>
      <c r="C23" s="103">
        <v>29583</v>
      </c>
      <c r="D23" s="103">
        <v>71040</v>
      </c>
      <c r="E23" s="103">
        <v>-150646</v>
      </c>
      <c r="F23" s="103">
        <v>-70612</v>
      </c>
      <c r="G23" s="102"/>
    </row>
    <row r="24" spans="1:7">
      <c r="A24" s="102" t="s">
        <v>241</v>
      </c>
      <c r="B24" s="103">
        <v>-6798</v>
      </c>
      <c r="C24" s="103">
        <v>-5089</v>
      </c>
      <c r="D24" s="103">
        <v>17915</v>
      </c>
      <c r="E24" s="103">
        <v>-2992</v>
      </c>
      <c r="F24" s="103">
        <v>-10713</v>
      </c>
      <c r="G24" s="102"/>
    </row>
    <row r="25" spans="1:7">
      <c r="A25" s="102" t="s">
        <v>242</v>
      </c>
      <c r="B25" s="103">
        <v>6614</v>
      </c>
      <c r="C25" s="103">
        <v>43740</v>
      </c>
      <c r="D25" s="103">
        <v>27992</v>
      </c>
      <c r="E25" s="103">
        <v>7889</v>
      </c>
      <c r="F25" s="103">
        <v>36001</v>
      </c>
      <c r="G25" s="102"/>
    </row>
    <row r="26" spans="1:7">
      <c r="A26" s="102" t="s">
        <v>188</v>
      </c>
      <c r="B26" s="103">
        <v>-3101</v>
      </c>
      <c r="C26" s="103">
        <v>-5876</v>
      </c>
      <c r="D26" s="103">
        <v>-12805</v>
      </c>
      <c r="E26" s="103">
        <v>12959</v>
      </c>
      <c r="F26" s="103">
        <v>13929</v>
      </c>
      <c r="G26" s="102"/>
    </row>
    <row r="27" spans="1:7">
      <c r="A27" s="102" t="s">
        <v>243</v>
      </c>
      <c r="B27" s="103">
        <v>-129</v>
      </c>
      <c r="C27" s="103">
        <v>1694</v>
      </c>
      <c r="D27" s="103">
        <v>12505</v>
      </c>
      <c r="E27" s="103">
        <v>-11476</v>
      </c>
      <c r="F27" s="103">
        <v>-130</v>
      </c>
      <c r="G27" s="102"/>
    </row>
    <row r="28" spans="1:7">
      <c r="A28" s="102" t="s">
        <v>244</v>
      </c>
      <c r="B28" s="103">
        <v>86893</v>
      </c>
      <c r="C28" s="103">
        <v>176068</v>
      </c>
      <c r="D28" s="103">
        <v>147751</v>
      </c>
      <c r="E28" s="103">
        <v>28911</v>
      </c>
      <c r="F28" s="103">
        <v>8625</v>
      </c>
      <c r="G28" s="102"/>
    </row>
    <row r="29" spans="1:7">
      <c r="A29" s="102" t="s">
        <v>245</v>
      </c>
      <c r="B29" s="103">
        <v>-32077</v>
      </c>
      <c r="C29" s="103">
        <v>-20860</v>
      </c>
      <c r="D29" s="103">
        <v>-42197</v>
      </c>
      <c r="E29" s="103">
        <v>-35588</v>
      </c>
      <c r="F29" s="103">
        <v>-8856</v>
      </c>
      <c r="G29" s="102"/>
    </row>
    <row r="30" spans="1:7">
      <c r="A30" s="102" t="s">
        <v>246</v>
      </c>
      <c r="B30" s="103">
        <v>-16614</v>
      </c>
      <c r="C30" s="103">
        <v>-11027</v>
      </c>
      <c r="D30" s="103">
        <v>4926</v>
      </c>
      <c r="E30" s="103">
        <v>-24708</v>
      </c>
      <c r="F30" s="103">
        <v>-2046</v>
      </c>
      <c r="G30" s="102"/>
    </row>
    <row r="31" spans="1:7">
      <c r="A31" s="102" t="s">
        <v>247</v>
      </c>
      <c r="B31" s="104" t="s">
        <v>166</v>
      </c>
      <c r="C31" s="104" t="s">
        <v>166</v>
      </c>
      <c r="D31" s="103">
        <v>-2867</v>
      </c>
      <c r="E31" s="104" t="s">
        <v>166</v>
      </c>
      <c r="F31" s="104" t="s">
        <v>166</v>
      </c>
      <c r="G31" s="102"/>
    </row>
    <row r="32" spans="1:7">
      <c r="A32" s="102" t="s">
        <v>248</v>
      </c>
      <c r="B32" s="104" t="s">
        <v>166</v>
      </c>
      <c r="C32" s="103">
        <v>165</v>
      </c>
      <c r="D32" s="104" t="s">
        <v>166</v>
      </c>
      <c r="E32" s="104" t="s">
        <v>166</v>
      </c>
      <c r="F32" s="104" t="s">
        <v>166</v>
      </c>
      <c r="G32" s="102"/>
    </row>
    <row r="33" spans="1:7">
      <c r="A33" s="102" t="s">
        <v>249</v>
      </c>
      <c r="B33" s="104" t="s">
        <v>166</v>
      </c>
      <c r="C33" s="104" t="s">
        <v>166</v>
      </c>
      <c r="D33" s="104" t="s">
        <v>166</v>
      </c>
      <c r="E33" s="103">
        <v>4950</v>
      </c>
      <c r="F33" s="104" t="s">
        <v>166</v>
      </c>
      <c r="G33" s="102"/>
    </row>
    <row r="34" spans="1:7">
      <c r="A34" s="102" t="s">
        <v>250</v>
      </c>
      <c r="B34" s="104" t="s">
        <v>166</v>
      </c>
      <c r="C34" s="104" t="s">
        <v>166</v>
      </c>
      <c r="D34" s="103">
        <v>1416</v>
      </c>
      <c r="E34" s="103">
        <v>-538</v>
      </c>
      <c r="F34" s="104" t="s">
        <v>166</v>
      </c>
      <c r="G34" s="102"/>
    </row>
    <row r="35" spans="1:7">
      <c r="A35" s="102" t="s">
        <v>251</v>
      </c>
      <c r="B35" s="103">
        <v>-48691</v>
      </c>
      <c r="C35" s="103">
        <v>-31722</v>
      </c>
      <c r="D35" s="103">
        <v>-38722</v>
      </c>
      <c r="E35" s="103">
        <v>-55884</v>
      </c>
      <c r="F35" s="103">
        <v>-10902</v>
      </c>
      <c r="G35" s="102"/>
    </row>
    <row r="36" spans="1:7">
      <c r="A36" s="102" t="s">
        <v>252</v>
      </c>
      <c r="B36" s="103">
        <v>66238</v>
      </c>
      <c r="C36" s="104" t="s">
        <v>166</v>
      </c>
      <c r="D36" s="104" t="s">
        <v>166</v>
      </c>
      <c r="E36" s="104" t="s">
        <v>166</v>
      </c>
      <c r="F36" s="104" t="s">
        <v>166</v>
      </c>
      <c r="G36" s="102"/>
    </row>
    <row r="37" spans="1:7">
      <c r="A37" s="102" t="s">
        <v>253</v>
      </c>
      <c r="B37" s="103">
        <v>-64250</v>
      </c>
      <c r="C37" s="104" t="s">
        <v>166</v>
      </c>
      <c r="D37" s="104" t="s">
        <v>166</v>
      </c>
      <c r="E37" s="104" t="s">
        <v>166</v>
      </c>
      <c r="F37" s="104" t="s">
        <v>166</v>
      </c>
      <c r="G37" s="102"/>
    </row>
    <row r="38" spans="1:7">
      <c r="A38" s="102" t="s">
        <v>254</v>
      </c>
      <c r="B38" s="104" t="s">
        <v>166</v>
      </c>
      <c r="C38" s="104" t="s">
        <v>166</v>
      </c>
      <c r="D38" s="103">
        <v>-20000</v>
      </c>
      <c r="E38" s="103">
        <v>20000</v>
      </c>
      <c r="F38" s="104" t="s">
        <v>166</v>
      </c>
      <c r="G38" s="102"/>
    </row>
    <row r="39" spans="1:7">
      <c r="A39" s="102" t="s">
        <v>255</v>
      </c>
      <c r="B39" s="104" t="s">
        <v>166</v>
      </c>
      <c r="C39" s="104" t="s">
        <v>166</v>
      </c>
      <c r="D39" s="104" t="s">
        <v>166</v>
      </c>
      <c r="E39" s="103">
        <v>550000</v>
      </c>
      <c r="F39" s="103">
        <v>35000</v>
      </c>
      <c r="G39" s="102"/>
    </row>
    <row r="40" spans="1:7">
      <c r="A40" s="102" t="s">
        <v>256</v>
      </c>
      <c r="B40" s="103">
        <v>-34875</v>
      </c>
      <c r="C40" s="103">
        <v>-151788</v>
      </c>
      <c r="D40" s="103">
        <v>-45550</v>
      </c>
      <c r="E40" s="103">
        <v>-84451</v>
      </c>
      <c r="F40" s="103">
        <v>-1957</v>
      </c>
      <c r="G40" s="102"/>
    </row>
    <row r="41" spans="1:7">
      <c r="A41" s="102" t="s">
        <v>257</v>
      </c>
      <c r="B41" s="103">
        <v>-2135</v>
      </c>
      <c r="C41" s="104" t="s">
        <v>166</v>
      </c>
      <c r="D41" s="103">
        <v>-1957</v>
      </c>
      <c r="E41" s="103">
        <v>-11779</v>
      </c>
      <c r="F41" s="103">
        <v>-920</v>
      </c>
      <c r="G41" s="102"/>
    </row>
    <row r="42" spans="1:7">
      <c r="A42" s="102" t="s">
        <v>258</v>
      </c>
      <c r="B42" s="104" t="s">
        <v>166</v>
      </c>
      <c r="C42" s="103">
        <v>-1967</v>
      </c>
      <c r="D42" s="104" t="s">
        <v>166</v>
      </c>
      <c r="E42" s="104" t="s">
        <v>166</v>
      </c>
      <c r="F42" s="104" t="s">
        <v>166</v>
      </c>
      <c r="G42" s="102"/>
    </row>
    <row r="43" spans="1:7">
      <c r="A43" s="102" t="s">
        <v>259</v>
      </c>
      <c r="B43" s="103">
        <v>3561</v>
      </c>
      <c r="C43" s="103">
        <v>262</v>
      </c>
      <c r="D43" s="103">
        <v>99</v>
      </c>
      <c r="E43" s="103">
        <v>1434</v>
      </c>
      <c r="F43" s="103">
        <v>631</v>
      </c>
      <c r="G43" s="102"/>
    </row>
    <row r="44" spans="1:7">
      <c r="A44" s="102" t="s">
        <v>260</v>
      </c>
      <c r="B44" s="103">
        <v>-13516</v>
      </c>
      <c r="C44" s="103">
        <v>-57</v>
      </c>
      <c r="D44" s="103">
        <v>-2018</v>
      </c>
      <c r="E44" s="103">
        <v>-9608</v>
      </c>
      <c r="F44" s="104" t="s">
        <v>166</v>
      </c>
      <c r="G44" s="102"/>
    </row>
    <row r="45" spans="1:7">
      <c r="A45" s="102" t="s">
        <v>237</v>
      </c>
      <c r="B45" s="104" t="s">
        <v>166</v>
      </c>
      <c r="C45" s="104" t="s">
        <v>166</v>
      </c>
      <c r="D45" s="104" t="s">
        <v>166</v>
      </c>
      <c r="E45" s="103">
        <v>1767</v>
      </c>
      <c r="F45" s="103">
        <v>635</v>
      </c>
      <c r="G45" s="102"/>
    </row>
    <row r="46" spans="1:7">
      <c r="A46" s="102" t="s">
        <v>261</v>
      </c>
      <c r="B46" s="104" t="s">
        <v>166</v>
      </c>
      <c r="C46" s="104" t="s">
        <v>166</v>
      </c>
      <c r="D46" s="104" t="s">
        <v>166</v>
      </c>
      <c r="E46" s="103">
        <v>-3291</v>
      </c>
      <c r="F46" s="104" t="s">
        <v>166</v>
      </c>
      <c r="G46" s="102"/>
    </row>
    <row r="47" spans="1:7">
      <c r="A47" s="102" t="s">
        <v>262</v>
      </c>
      <c r="B47" s="104" t="s">
        <v>166</v>
      </c>
      <c r="C47" s="103">
        <v>38083</v>
      </c>
      <c r="D47" s="104" t="s">
        <v>166</v>
      </c>
      <c r="E47" s="103">
        <v>708</v>
      </c>
      <c r="F47" s="103">
        <v>254</v>
      </c>
      <c r="G47" s="102"/>
    </row>
    <row r="48" spans="1:7">
      <c r="A48" s="102" t="s">
        <v>263</v>
      </c>
      <c r="B48" s="104" t="s">
        <v>166</v>
      </c>
      <c r="C48" s="104" t="s">
        <v>166</v>
      </c>
      <c r="D48" s="104" t="s">
        <v>166</v>
      </c>
      <c r="E48" s="103">
        <v>-2861</v>
      </c>
      <c r="F48" s="104" t="s">
        <v>166</v>
      </c>
      <c r="G48" s="102"/>
    </row>
    <row r="49" spans="1:7">
      <c r="A49" s="102" t="s">
        <v>264</v>
      </c>
      <c r="B49" s="103">
        <v>-636</v>
      </c>
      <c r="C49" s="103">
        <v>-2523</v>
      </c>
      <c r="D49" s="103">
        <v>-2811</v>
      </c>
      <c r="E49" s="103">
        <v>-453908</v>
      </c>
      <c r="F49" s="104" t="s">
        <v>166</v>
      </c>
      <c r="G49" s="102"/>
    </row>
    <row r="50" spans="1:7">
      <c r="A50" s="102" t="s">
        <v>265</v>
      </c>
      <c r="B50" s="103">
        <v>-74</v>
      </c>
      <c r="C50" s="104" t="s">
        <v>166</v>
      </c>
      <c r="D50" s="104" t="s">
        <v>166</v>
      </c>
      <c r="E50" s="104" t="s">
        <v>166</v>
      </c>
      <c r="F50" s="104" t="s">
        <v>166</v>
      </c>
      <c r="G50" s="102"/>
    </row>
    <row r="51" spans="1:7">
      <c r="A51" s="102" t="s">
        <v>266</v>
      </c>
      <c r="B51" s="103">
        <v>-45687</v>
      </c>
      <c r="C51" s="103">
        <v>-117990</v>
      </c>
      <c r="D51" s="103">
        <v>-72237</v>
      </c>
      <c r="E51" s="103">
        <v>8011</v>
      </c>
      <c r="F51" s="103">
        <v>33643</v>
      </c>
      <c r="G51" s="102"/>
    </row>
    <row r="52" spans="1:7">
      <c r="A52" s="102" t="s">
        <v>267</v>
      </c>
      <c r="B52" s="104" t="s">
        <v>166</v>
      </c>
      <c r="C52" s="104" t="s">
        <v>166</v>
      </c>
      <c r="D52" s="103">
        <v>-4432</v>
      </c>
      <c r="E52" s="104" t="s">
        <v>166</v>
      </c>
      <c r="F52" s="104" t="s">
        <v>166</v>
      </c>
      <c r="G52" s="102"/>
    </row>
    <row r="53" spans="1:7">
      <c r="A53" s="102" t="s">
        <v>268</v>
      </c>
      <c r="B53" s="104" t="s">
        <v>166</v>
      </c>
      <c r="C53" s="104" t="s">
        <v>166</v>
      </c>
      <c r="D53" s="103">
        <v>-4432</v>
      </c>
      <c r="E53" s="104" t="s">
        <v>166</v>
      </c>
      <c r="F53" s="104" t="s">
        <v>166</v>
      </c>
      <c r="G53" s="102"/>
    </row>
    <row r="54" spans="1:7">
      <c r="A54" s="102" t="s">
        <v>269</v>
      </c>
      <c r="B54" s="103">
        <v>-51</v>
      </c>
      <c r="C54" s="103">
        <v>45</v>
      </c>
      <c r="D54" s="103">
        <v>-1</v>
      </c>
      <c r="E54" s="104" t="s">
        <v>166</v>
      </c>
      <c r="F54" s="104" t="s">
        <v>166</v>
      </c>
      <c r="G54" s="102"/>
    </row>
    <row r="55" spans="1:7">
      <c r="A55" s="102" t="s">
        <v>270</v>
      </c>
      <c r="B55" s="103">
        <v>-7536</v>
      </c>
      <c r="C55" s="103">
        <v>26401</v>
      </c>
      <c r="D55" s="103">
        <v>32359</v>
      </c>
      <c r="E55" s="103">
        <v>-18962</v>
      </c>
      <c r="F55" s="103">
        <v>31366</v>
      </c>
      <c r="G55" s="102"/>
    </row>
    <row r="56" spans="1:7">
      <c r="A56" s="102" t="s">
        <v>271</v>
      </c>
      <c r="B56" s="103">
        <v>80051</v>
      </c>
      <c r="C56" s="103">
        <v>53650</v>
      </c>
      <c r="D56" s="103">
        <v>21291</v>
      </c>
      <c r="E56" s="103">
        <v>40253</v>
      </c>
      <c r="F56" s="103">
        <v>8887</v>
      </c>
      <c r="G56" s="102"/>
    </row>
    <row r="57" spans="1:7">
      <c r="A57" s="102" t="s">
        <v>272</v>
      </c>
      <c r="B57" s="103">
        <v>72515</v>
      </c>
      <c r="C57" s="103">
        <v>80051</v>
      </c>
      <c r="D57" s="103">
        <v>53650</v>
      </c>
      <c r="E57" s="103">
        <v>21291</v>
      </c>
      <c r="F57" s="103">
        <v>40253</v>
      </c>
      <c r="G57" s="102"/>
    </row>
    <row r="58" spans="1:7">
      <c r="A58" s="102" t="s">
        <v>273</v>
      </c>
      <c r="B58" s="103">
        <v>19396</v>
      </c>
      <c r="C58" s="103">
        <v>28504</v>
      </c>
      <c r="D58" s="103">
        <v>2989</v>
      </c>
      <c r="E58" s="103">
        <v>19634</v>
      </c>
      <c r="F58" s="103">
        <v>5278</v>
      </c>
      <c r="G58" s="102"/>
    </row>
    <row r="59" spans="1:7">
      <c r="A59" s="102" t="s">
        <v>45</v>
      </c>
      <c r="B59" s="103">
        <v>3524</v>
      </c>
      <c r="C59" s="103">
        <v>16347</v>
      </c>
      <c r="D59" s="103">
        <v>20640</v>
      </c>
      <c r="E59" s="103">
        <v>25292</v>
      </c>
      <c r="F59" s="103">
        <v>28191</v>
      </c>
      <c r="G59" s="10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D90E6-9824-49FC-97A5-CF8529C5E553}">
  <sheetPr codeName="Sheet7"/>
  <dimension ref="B2:H30"/>
  <sheetViews>
    <sheetView zoomScaleNormal="100" workbookViewId="0">
      <selection activeCell="C12" sqref="C12"/>
    </sheetView>
  </sheetViews>
  <sheetFormatPr defaultColWidth="10.1796875" defaultRowHeight="12.5"/>
  <cols>
    <col min="1" max="1" width="3.1796875" style="71" customWidth="1"/>
    <col min="2" max="2" width="13.1796875" style="71" customWidth="1"/>
    <col min="3" max="3" width="19.26953125" style="71" customWidth="1"/>
    <col min="4" max="16384" width="10.1796875" style="71"/>
  </cols>
  <sheetData>
    <row r="2" spans="2:8" s="69" customFormat="1" ht="18">
      <c r="B2" s="68" t="s">
        <v>108</v>
      </c>
      <c r="C2" s="68"/>
    </row>
    <row r="3" spans="2:8" ht="13">
      <c r="B3" s="70" t="s">
        <v>109</v>
      </c>
      <c r="C3" s="70"/>
      <c r="E3" s="72">
        <f ca="1">YETI_DCF!S45</f>
        <v>36.422124671228389</v>
      </c>
    </row>
    <row r="4" spans="2:8" ht="13">
      <c r="B4" s="70" t="s">
        <v>110</v>
      </c>
      <c r="C4" s="70"/>
      <c r="E4" s="73">
        <v>16.440000000000001</v>
      </c>
    </row>
    <row r="5" spans="2:8" ht="13">
      <c r="B5" s="70" t="s">
        <v>111</v>
      </c>
      <c r="C5" s="70"/>
      <c r="E5" s="74">
        <v>8.1199999999999992</v>
      </c>
    </row>
    <row r="6" spans="2:8" ht="13">
      <c r="B6" s="70" t="s">
        <v>112</v>
      </c>
      <c r="C6" s="70"/>
      <c r="E6" s="75">
        <v>0.35</v>
      </c>
      <c r="F6" s="70" t="s">
        <v>113</v>
      </c>
    </row>
    <row r="7" spans="2:8" ht="13">
      <c r="B7" s="70" t="s">
        <v>114</v>
      </c>
      <c r="C7" s="70"/>
      <c r="E7" s="76">
        <v>0</v>
      </c>
    </row>
    <row r="8" spans="2:8" ht="13">
      <c r="B8" s="70" t="s">
        <v>115</v>
      </c>
      <c r="C8" s="70"/>
      <c r="E8" s="76">
        <v>8.8999999999999999E-3</v>
      </c>
    </row>
    <row r="9" spans="2:8" ht="13">
      <c r="B9" s="70" t="s">
        <v>116</v>
      </c>
      <c r="C9" s="70"/>
      <c r="E9" s="74">
        <f>1618000/1000</f>
        <v>1618</v>
      </c>
    </row>
    <row r="10" spans="2:8" ht="13">
      <c r="B10" s="70" t="s">
        <v>117</v>
      </c>
      <c r="C10" s="70"/>
      <c r="E10" s="77">
        <f>YETI_DCF!S43</f>
        <v>87105.442999999999</v>
      </c>
    </row>
    <row r="11" spans="2:8" ht="13">
      <c r="B11" s="70"/>
      <c r="C11" s="70"/>
      <c r="E11" s="78"/>
    </row>
    <row r="12" spans="2:8" ht="13">
      <c r="B12" s="70" t="s">
        <v>118</v>
      </c>
      <c r="C12" s="79" t="s">
        <v>119</v>
      </c>
      <c r="E12" s="78"/>
    </row>
    <row r="13" spans="2:8" ht="13">
      <c r="B13" s="70"/>
      <c r="C13" s="70"/>
    </row>
    <row r="14" spans="2:8" s="82" customFormat="1" ht="13.5">
      <c r="B14" s="80" t="s">
        <v>120</v>
      </c>
      <c r="C14" s="81"/>
    </row>
    <row r="15" spans="2:8" s="70" customFormat="1" ht="13">
      <c r="B15" s="83" t="s">
        <v>121</v>
      </c>
    </row>
    <row r="16" spans="2:8" s="70" customFormat="1" ht="13">
      <c r="B16" s="70" t="s">
        <v>122</v>
      </c>
      <c r="D16" s="84">
        <f ca="1">E3</f>
        <v>36.422124671228389</v>
      </c>
      <c r="E16" s="70" t="s">
        <v>123</v>
      </c>
      <c r="G16" s="79">
        <f>E9</f>
        <v>1618</v>
      </c>
      <c r="H16" s="85"/>
    </row>
    <row r="17" spans="2:8" s="70" customFormat="1" ht="13">
      <c r="B17" s="70" t="s">
        <v>124</v>
      </c>
      <c r="D17" s="84">
        <f>E4</f>
        <v>16.440000000000001</v>
      </c>
      <c r="E17" s="70" t="s">
        <v>125</v>
      </c>
      <c r="G17" s="86">
        <f>E10</f>
        <v>87105.442999999999</v>
      </c>
      <c r="H17" s="85"/>
    </row>
    <row r="18" spans="2:8" s="70" customFormat="1" ht="13">
      <c r="B18" s="70" t="s">
        <v>126</v>
      </c>
      <c r="D18" s="144">
        <f ca="1">(D16*G17+D29*G16)/(G17+G16)</f>
        <v>36.181450963716919</v>
      </c>
      <c r="E18" s="70" t="s">
        <v>127</v>
      </c>
      <c r="G18" s="87">
        <f>E8</f>
        <v>8.8999999999999999E-3</v>
      </c>
    </row>
    <row r="19" spans="2:8" s="70" customFormat="1" ht="13">
      <c r="B19" s="70" t="s">
        <v>128</v>
      </c>
      <c r="D19" s="84">
        <f>D17</f>
        <v>16.440000000000001</v>
      </c>
      <c r="E19" s="70" t="s">
        <v>129</v>
      </c>
      <c r="G19" s="88">
        <f>E6^2</f>
        <v>0.12249999999999998</v>
      </c>
    </row>
    <row r="20" spans="2:8" s="70" customFormat="1" ht="13">
      <c r="B20" s="70" t="s">
        <v>130</v>
      </c>
      <c r="D20" s="84">
        <f>E5</f>
        <v>8.1199999999999992</v>
      </c>
      <c r="E20" s="70" t="s">
        <v>131</v>
      </c>
      <c r="G20" s="87">
        <f>E7</f>
        <v>0</v>
      </c>
    </row>
    <row r="21" spans="2:8" s="70" customFormat="1" ht="13">
      <c r="D21" s="83"/>
      <c r="E21" s="70" t="s">
        <v>132</v>
      </c>
      <c r="G21" s="89">
        <f>G18-G20</f>
        <v>8.8999999999999999E-3</v>
      </c>
    </row>
    <row r="22" spans="2:8" s="70" customFormat="1" ht="13"/>
    <row r="23" spans="2:8" s="70" customFormat="1" ht="13">
      <c r="B23" s="70" t="s">
        <v>133</v>
      </c>
      <c r="C23" s="79">
        <f ca="1">(LN(D18/D19)+(G21+(G19/2))*D20)/(((G19)^(0.5))*(D20^0.5))</f>
        <v>1.3620614516635698</v>
      </c>
    </row>
    <row r="24" spans="2:8" s="70" customFormat="1" ht="13">
      <c r="B24" s="70" t="s">
        <v>134</v>
      </c>
      <c r="C24" s="79">
        <f ca="1">NORMSDIST(C23)</f>
        <v>0.91341075378192582</v>
      </c>
    </row>
    <row r="25" spans="2:8" s="70" customFormat="1" ht="13"/>
    <row r="26" spans="2:8" s="70" customFormat="1" ht="13">
      <c r="B26" s="70" t="s">
        <v>135</v>
      </c>
      <c r="C26" s="79">
        <f ca="1">C23-((G19^0.5)*(D20^(0.5)))</f>
        <v>0.36471497224931948</v>
      </c>
    </row>
    <row r="27" spans="2:8" s="70" customFormat="1" ht="13">
      <c r="B27" s="70" t="s">
        <v>136</v>
      </c>
      <c r="C27" s="79">
        <f ca="1">NORMSDIST(C26)</f>
        <v>0.64233790943773883</v>
      </c>
    </row>
    <row r="28" spans="2:8" ht="13.5" thickBot="1">
      <c r="B28" s="70"/>
      <c r="C28" s="70"/>
    </row>
    <row r="29" spans="2:8" s="70" customFormat="1" ht="13.5" thickBot="1">
      <c r="B29" s="70" t="s">
        <v>137</v>
      </c>
      <c r="D29" s="90">
        <f ca="1">IF(C12="OFF",((EXP((0-G20)*D20))*D18*C24-D19*(EXP((0-G18)*D20))*C27),0)</f>
        <v>23.224720487054661</v>
      </c>
      <c r="H29" s="91"/>
    </row>
    <row r="30" spans="2:8" s="70" customFormat="1" ht="13.5" thickBot="1">
      <c r="B30" s="70" t="s">
        <v>138</v>
      </c>
      <c r="E30" s="92">
        <f ca="1">D29*E9</f>
        <v>37577.597748054439</v>
      </c>
    </row>
  </sheetData>
  <dataValidations count="1">
    <dataValidation type="list" allowBlank="1" showInputMessage="1" showErrorMessage="1" sqref="C12" xr:uid="{29959272-FECA-4E04-A05F-A7D66EA48B07}">
      <formula1>"ON,OFF"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YETI_DCF</vt:lpstr>
      <vt:lpstr>YETI_IS</vt:lpstr>
      <vt:lpstr>YETI_BS</vt:lpstr>
      <vt:lpstr>YETI_CFS</vt:lpstr>
      <vt:lpstr>Option_Value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2019-02-12T17:30:01Z</dcterms:created>
  <dcterms:modified xsi:type="dcterms:W3CDTF">2020-10-15T20:53:34Z</dcterms:modified>
</cp:coreProperties>
</file>