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David Moore\Dropbox\LMU_teaching\FNCE_3415\Fall_20\"/>
    </mc:Choice>
  </mc:AlternateContent>
  <xr:revisionPtr revIDLastSave="0" documentId="13_ncr:1_{886CA78C-292C-4FFA-8F9A-D6ED779A47E4}" xr6:coauthVersionLast="45" xr6:coauthVersionMax="45" xr10:uidLastSave="{00000000-0000-0000-0000-000000000000}"/>
  <bookViews>
    <workbookView xWindow="28680" yWindow="-120" windowWidth="29040" windowHeight="15840" firstSheet="4" activeTab="10" xr2:uid="{29D810FA-E508-44BA-8A25-DBB98620141F}"/>
  </bookViews>
  <sheets>
    <sheet name="Possible_Comps" sheetId="2" r:id="rId1"/>
    <sheet name="Selecting_Comps" sheetId="3" r:id="rId2"/>
    <sheet name="SFIX_Comps" sheetId="5" r:id="rId3"/>
    <sheet name="SFIX_DCF" sheetId="13" r:id="rId4"/>
    <sheet name="Option_Value" sheetId="14" r:id="rId5"/>
    <sheet name="SFIX_IS" sheetId="15" r:id="rId6"/>
    <sheet name="SFIX_BS" sheetId="16" r:id="rId7"/>
    <sheet name="SFIX_CFS" sheetId="17" r:id="rId8"/>
    <sheet name="SFIX_LTM" sheetId="7" r:id="rId9"/>
    <sheet name="ETSY_LTM" sheetId="6" r:id="rId10"/>
    <sheet name="REAL_LTM" sheetId="8" r:id="rId11"/>
    <sheet name="W_LTM" sheetId="9" r:id="rId12"/>
    <sheet name="RVLV_LTM" sheetId="10" r:id="rId13"/>
    <sheet name="OSTK_LTM" sheetId="11" r:id="rId14"/>
    <sheet name="CHWY_LTM" sheetId="12" r:id="rId15"/>
  </sheets>
  <externalReferences>
    <externalReference r:id="rId16"/>
    <externalReference r:id="rId17"/>
  </externalReferences>
  <definedNames>
    <definedName name="_xlnm._FilterDatabase" localSheetId="3" hidden="1">SFIX_DCF!#REF!</definedName>
    <definedName name="AXL_Debt">[1]AXL_BS!$B$65</definedName>
    <definedName name="BEA_Debt">#REF!</definedName>
    <definedName name="BWA_Debt">[1]BWA_BS!$B$111</definedName>
    <definedName name="CIQWBGuid" hidden="1">"d0998759-8ba7-4210-8fa6-7a4a90d99731"</definedName>
    <definedName name="DAN_Debt">[1]DAN_BS!$B$94</definedName>
    <definedName name="GNTX_NCI">[1]GNTX_LTM!$E$13</definedName>
    <definedName name="GNTX_Net_Debt">[1]GNTX_LTM!$E$11</definedName>
    <definedName name="GNTX_PS">[1]GNTX_LTM!$E$12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2" hidden="1">42765.9361458333</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[2]KKD_BS_LQ!$B$3</definedName>
    <definedName name="Krispy_EBITDA_LTM">[2]KKD_LTM!$E$6</definedName>
    <definedName name="LEA_Debt">[1]LEA_BS!$B$58</definedName>
    <definedName name="THRM_Debt">[1]THRM_BS!$B$78</definedName>
    <definedName name="VC_Debt">[1]VC_BS!$B$109</definedName>
  </definedName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7" i="13" l="1"/>
  <c r="F10" i="16" l="1"/>
  <c r="E10" i="16"/>
  <c r="D10" i="16"/>
  <c r="C10" i="16"/>
  <c r="B10" i="16"/>
  <c r="F51" i="15"/>
  <c r="E51" i="15"/>
  <c r="D51" i="15"/>
  <c r="C51" i="15"/>
  <c r="B51" i="15"/>
  <c r="F50" i="15"/>
  <c r="E50" i="15"/>
  <c r="D50" i="15"/>
  <c r="C50" i="15"/>
  <c r="B50" i="15"/>
  <c r="F10" i="15"/>
  <c r="E10" i="15"/>
  <c r="D10" i="15"/>
  <c r="C10" i="15"/>
  <c r="B10" i="15"/>
  <c r="G21" i="14"/>
  <c r="G20" i="14"/>
  <c r="D20" i="14"/>
  <c r="G19" i="14"/>
  <c r="G18" i="14"/>
  <c r="D17" i="14"/>
  <c r="D19" i="14" s="1"/>
  <c r="G16" i="14"/>
  <c r="C150" i="13"/>
  <c r="C151" i="13" s="1"/>
  <c r="C152" i="13" s="1"/>
  <c r="C153" i="13" s="1"/>
  <c r="C154" i="13" s="1"/>
  <c r="C155" i="13" s="1"/>
  <c r="C149" i="13"/>
  <c r="L147" i="13"/>
  <c r="M147" i="13" s="1"/>
  <c r="N147" i="13" s="1"/>
  <c r="J147" i="13"/>
  <c r="K147" i="13" s="1"/>
  <c r="H147" i="13"/>
  <c r="G147" i="13"/>
  <c r="F147" i="13" s="1"/>
  <c r="E147" i="13"/>
  <c r="D147" i="13" s="1"/>
  <c r="L143" i="13"/>
  <c r="M143" i="13" s="1"/>
  <c r="K143" i="13"/>
  <c r="I143" i="13"/>
  <c r="J143" i="13" s="1"/>
  <c r="G143" i="13"/>
  <c r="F143" i="13"/>
  <c r="E143" i="13" s="1"/>
  <c r="D143" i="13" s="1"/>
  <c r="C143" i="13" s="1"/>
  <c r="G138" i="13"/>
  <c r="G139" i="13" s="1"/>
  <c r="G140" i="13" s="1"/>
  <c r="G137" i="13"/>
  <c r="G135" i="13"/>
  <c r="G134" i="13" s="1"/>
  <c r="G133" i="13"/>
  <c r="D127" i="13"/>
  <c r="F121" i="13"/>
  <c r="G121" i="13" s="1"/>
  <c r="I121" i="13" s="1"/>
  <c r="K120" i="13"/>
  <c r="K121" i="13" s="1"/>
  <c r="G120" i="13"/>
  <c r="F120" i="13"/>
  <c r="K119" i="13"/>
  <c r="G119" i="13"/>
  <c r="I119" i="13" s="1"/>
  <c r="F119" i="13"/>
  <c r="K118" i="13"/>
  <c r="F118" i="13"/>
  <c r="G118" i="13" s="1"/>
  <c r="I118" i="13" s="1"/>
  <c r="I117" i="13"/>
  <c r="F117" i="13"/>
  <c r="G117" i="13" s="1"/>
  <c r="F92" i="13"/>
  <c r="N84" i="13"/>
  <c r="I83" i="13"/>
  <c r="N82" i="13"/>
  <c r="I82" i="13"/>
  <c r="I81" i="13"/>
  <c r="N77" i="13"/>
  <c r="N85" i="13" s="1"/>
  <c r="S44" i="13" s="1"/>
  <c r="I77" i="13"/>
  <c r="I85" i="13" s="1"/>
  <c r="L71" i="13"/>
  <c r="M71" i="13" s="1"/>
  <c r="N71" i="13" s="1"/>
  <c r="O71" i="13" s="1"/>
  <c r="G62" i="13"/>
  <c r="G61" i="13"/>
  <c r="G63" i="13" s="1"/>
  <c r="F58" i="13"/>
  <c r="F57" i="13"/>
  <c r="F56" i="13"/>
  <c r="F59" i="13" s="1"/>
  <c r="F55" i="13"/>
  <c r="G55" i="13" s="1"/>
  <c r="G58" i="13" s="1"/>
  <c r="S45" i="13"/>
  <c r="N44" i="13"/>
  <c r="I44" i="13"/>
  <c r="I24" i="13"/>
  <c r="J24" i="13" s="1"/>
  <c r="K24" i="13" s="1"/>
  <c r="L24" i="13" s="1"/>
  <c r="M24" i="13" s="1"/>
  <c r="N24" i="13" s="1"/>
  <c r="O24" i="13" s="1"/>
  <c r="H24" i="13"/>
  <c r="F24" i="13"/>
  <c r="G24" i="13" s="1"/>
  <c r="F19" i="13"/>
  <c r="G18" i="13"/>
  <c r="F18" i="13"/>
  <c r="F29" i="13" s="1"/>
  <c r="F17" i="13"/>
  <c r="F30" i="13" s="1"/>
  <c r="F12" i="13"/>
  <c r="F28" i="13" s="1"/>
  <c r="F9" i="13"/>
  <c r="F10" i="13" s="1"/>
  <c r="G8" i="13"/>
  <c r="F8" i="13"/>
  <c r="G7" i="13"/>
  <c r="C8" i="12"/>
  <c r="F8" i="12"/>
  <c r="E8" i="12"/>
  <c r="H12" i="12"/>
  <c r="C8" i="11"/>
  <c r="F8" i="11"/>
  <c r="E8" i="11"/>
  <c r="D124" i="13" l="1"/>
  <c r="F31" i="13"/>
  <c r="F13" i="13"/>
  <c r="F97" i="13"/>
  <c r="G26" i="13"/>
  <c r="F94" i="13"/>
  <c r="F95" i="13" s="1"/>
  <c r="F98" i="13" s="1"/>
  <c r="N46" i="13"/>
  <c r="I46" i="13"/>
  <c r="G29" i="13"/>
  <c r="S29" i="13"/>
  <c r="L29" i="13" s="1"/>
  <c r="S28" i="13"/>
  <c r="L28" i="13" s="1"/>
  <c r="M28" i="13" s="1"/>
  <c r="N28" i="13" s="1"/>
  <c r="O28" i="13" s="1"/>
  <c r="S30" i="13"/>
  <c r="L30" i="13" s="1"/>
  <c r="S27" i="13"/>
  <c r="L27" i="13" s="1"/>
  <c r="S26" i="13"/>
  <c r="L26" i="13" s="1"/>
  <c r="M26" i="13" s="1"/>
  <c r="N26" i="13" s="1"/>
  <c r="O26" i="13" s="1"/>
  <c r="F27" i="13"/>
  <c r="G17" i="13"/>
  <c r="G30" i="13" s="1"/>
  <c r="G12" i="13"/>
  <c r="G28" i="13" s="1"/>
  <c r="G9" i="13"/>
  <c r="G27" i="13" s="1"/>
  <c r="H7" i="13"/>
  <c r="G56" i="13"/>
  <c r="G57" i="13"/>
  <c r="F70" i="13"/>
  <c r="G70" i="13" s="1"/>
  <c r="H70" i="13" s="1"/>
  <c r="I70" i="13" s="1"/>
  <c r="J70" i="13" s="1"/>
  <c r="K70" i="13" s="1"/>
  <c r="L70" i="13" s="1"/>
  <c r="M70" i="13" s="1"/>
  <c r="N70" i="13" s="1"/>
  <c r="O70" i="13" s="1"/>
  <c r="D126" i="13"/>
  <c r="H55" i="13"/>
  <c r="F61" i="13"/>
  <c r="F62" i="13"/>
  <c r="E10" i="14"/>
  <c r="G17" i="14" s="1"/>
  <c r="S38" i="13"/>
  <c r="I120" i="13"/>
  <c r="M30" i="13" l="1"/>
  <c r="D128" i="13"/>
  <c r="F108" i="13" s="1"/>
  <c r="F110" i="13" s="1"/>
  <c r="I39" i="13" s="1"/>
  <c r="F63" i="13"/>
  <c r="F65" i="13" s="1"/>
  <c r="F71" i="13" s="1"/>
  <c r="H18" i="13"/>
  <c r="H17" i="13"/>
  <c r="H12" i="13"/>
  <c r="H9" i="13"/>
  <c r="H8" i="13"/>
  <c r="I7" i="13"/>
  <c r="M29" i="13"/>
  <c r="F14" i="13"/>
  <c r="F15" i="13" s="1"/>
  <c r="F20" i="13" s="1"/>
  <c r="H62" i="13"/>
  <c r="H57" i="13"/>
  <c r="I55" i="13"/>
  <c r="H56" i="13"/>
  <c r="H61" i="13"/>
  <c r="H63" i="13" s="1"/>
  <c r="H58" i="13"/>
  <c r="G59" i="13"/>
  <c r="G65" i="13" s="1"/>
  <c r="M27" i="13"/>
  <c r="G10" i="13"/>
  <c r="H26" i="13" l="1"/>
  <c r="H10" i="13"/>
  <c r="G66" i="13"/>
  <c r="G19" i="13" s="1"/>
  <c r="G71" i="13"/>
  <c r="I61" i="13"/>
  <c r="I56" i="13"/>
  <c r="I58" i="13"/>
  <c r="I57" i="13"/>
  <c r="I62" i="13"/>
  <c r="J55" i="13"/>
  <c r="H29" i="13"/>
  <c r="N30" i="13"/>
  <c r="G13" i="13"/>
  <c r="G31" i="13"/>
  <c r="H27" i="13"/>
  <c r="N29" i="13"/>
  <c r="H28" i="13"/>
  <c r="N39" i="13"/>
  <c r="N27" i="13"/>
  <c r="H59" i="13"/>
  <c r="H65" i="13" s="1"/>
  <c r="I18" i="13"/>
  <c r="I17" i="13"/>
  <c r="I8" i="13"/>
  <c r="J7" i="13"/>
  <c r="I12" i="13"/>
  <c r="I9" i="13"/>
  <c r="H30" i="13"/>
  <c r="J18" i="13" l="1"/>
  <c r="J12" i="13"/>
  <c r="J9" i="13"/>
  <c r="J27" i="13" s="1"/>
  <c r="J17" i="13"/>
  <c r="J30" i="13" s="1"/>
  <c r="J8" i="13"/>
  <c r="K7" i="13"/>
  <c r="L7" i="13" s="1"/>
  <c r="M7" i="13" s="1"/>
  <c r="N7" i="13" s="1"/>
  <c r="O7" i="13" s="1"/>
  <c r="H66" i="13"/>
  <c r="H19" i="13" s="1"/>
  <c r="H71" i="13"/>
  <c r="I27" i="13"/>
  <c r="I30" i="13"/>
  <c r="O27" i="13"/>
  <c r="O29" i="13"/>
  <c r="G14" i="13"/>
  <c r="G15" i="13"/>
  <c r="G20" i="13" s="1"/>
  <c r="K55" i="13"/>
  <c r="L55" i="13" s="1"/>
  <c r="M55" i="13" s="1"/>
  <c r="N55" i="13" s="1"/>
  <c r="O55" i="13" s="1"/>
  <c r="J58" i="13"/>
  <c r="J57" i="13"/>
  <c r="J56" i="13"/>
  <c r="J59" i="13" s="1"/>
  <c r="J65" i="13" s="1"/>
  <c r="J62" i="13"/>
  <c r="J61" i="13"/>
  <c r="J63" i="13" s="1"/>
  <c r="I59" i="13"/>
  <c r="H31" i="13"/>
  <c r="H13" i="13"/>
  <c r="I10" i="13"/>
  <c r="I26" i="13"/>
  <c r="I28" i="13"/>
  <c r="I29" i="13"/>
  <c r="O30" i="13"/>
  <c r="I63" i="13"/>
  <c r="J28" i="13" l="1"/>
  <c r="J71" i="13"/>
  <c r="J66" i="13"/>
  <c r="J19" i="13" s="1"/>
  <c r="I13" i="13"/>
  <c r="I31" i="13"/>
  <c r="I65" i="13"/>
  <c r="H14" i="13"/>
  <c r="H15" i="13" s="1"/>
  <c r="H20" i="13" s="1"/>
  <c r="J26" i="13"/>
  <c r="J10" i="13"/>
  <c r="K8" i="13"/>
  <c r="J29" i="13"/>
  <c r="I71" i="13" l="1"/>
  <c r="I66" i="13"/>
  <c r="I19" i="13" s="1"/>
  <c r="K12" i="13"/>
  <c r="K65" i="13"/>
  <c r="K66" i="13" s="1"/>
  <c r="K19" i="13" s="1"/>
  <c r="K18" i="13"/>
  <c r="K17" i="13" s="1"/>
  <c r="K9" i="13"/>
  <c r="K10" i="13" s="1"/>
  <c r="K13" i="13" s="1"/>
  <c r="L8" i="13"/>
  <c r="J31" i="13"/>
  <c r="J13" i="13"/>
  <c r="I14" i="13"/>
  <c r="I15" i="13" s="1"/>
  <c r="I20" i="13" s="1"/>
  <c r="K14" i="13" l="1"/>
  <c r="K15" i="13"/>
  <c r="K20" i="13" s="1"/>
  <c r="L65" i="13"/>
  <c r="L66" i="13" s="1"/>
  <c r="L19" i="13" s="1"/>
  <c r="L12" i="13"/>
  <c r="M8" i="13"/>
  <c r="L9" i="13"/>
  <c r="L10" i="13" s="1"/>
  <c r="L13" i="13" s="1"/>
  <c r="L18" i="13"/>
  <c r="L17" i="13" s="1"/>
  <c r="J14" i="13"/>
  <c r="J15" i="13" s="1"/>
  <c r="J20" i="13" s="1"/>
  <c r="L14" i="13" l="1"/>
  <c r="L15" i="13" s="1"/>
  <c r="L20" i="13" s="1"/>
  <c r="M65" i="13"/>
  <c r="M66" i="13" s="1"/>
  <c r="M19" i="13" s="1"/>
  <c r="M12" i="13"/>
  <c r="N8" i="13"/>
  <c r="M18" i="13"/>
  <c r="M17" i="13" s="1"/>
  <c r="M9" i="13"/>
  <c r="M10" i="13" s="1"/>
  <c r="M13" i="13" s="1"/>
  <c r="M14" i="13" l="1"/>
  <c r="M15" i="13" s="1"/>
  <c r="M20" i="13" s="1"/>
  <c r="N65" i="13"/>
  <c r="N66" i="13" s="1"/>
  <c r="N19" i="13" s="1"/>
  <c r="N10" i="13"/>
  <c r="N12" i="13"/>
  <c r="O8" i="13"/>
  <c r="N9" i="13"/>
  <c r="N18" i="13"/>
  <c r="N17" i="13" s="1"/>
  <c r="N13" i="13" l="1"/>
  <c r="O12" i="13"/>
  <c r="O65" i="13"/>
  <c r="O66" i="13" s="1"/>
  <c r="O19" i="13" s="1"/>
  <c r="O9" i="13"/>
  <c r="O10" i="13" s="1"/>
  <c r="O13" i="13" s="1"/>
  <c r="O18" i="13"/>
  <c r="O17" i="13" s="1"/>
  <c r="N36" i="13" l="1"/>
  <c r="N38" i="13" s="1"/>
  <c r="N40" i="13" s="1"/>
  <c r="O14" i="13"/>
  <c r="O15" i="13"/>
  <c r="O20" i="13" s="1"/>
  <c r="N15" i="13"/>
  <c r="N20" i="13" s="1"/>
  <c r="N42" i="13" s="1"/>
  <c r="N14" i="13"/>
  <c r="N43" i="13" l="1"/>
  <c r="N45" i="13" s="1"/>
  <c r="N47" i="13" s="1"/>
  <c r="B144" i="13" s="1"/>
  <c r="I36" i="13"/>
  <c r="I38" i="13" s="1"/>
  <c r="I40" i="13" s="1"/>
  <c r="I42" i="13"/>
  <c r="I43" i="13" l="1"/>
  <c r="I45" i="13" s="1"/>
  <c r="I47" i="13" s="1"/>
  <c r="S37" i="13" l="1"/>
  <c r="S43" i="13"/>
  <c r="S46" i="13" s="1"/>
  <c r="C147" i="13"/>
  <c r="H132" i="13"/>
  <c r="H16" i="11" l="1"/>
  <c r="H12" i="11"/>
  <c r="C8" i="10"/>
  <c r="F8" i="10"/>
  <c r="E8" i="10"/>
  <c r="H12" i="10"/>
  <c r="C8" i="9"/>
  <c r="F8" i="9"/>
  <c r="E8" i="9"/>
  <c r="H16" i="9"/>
  <c r="H12" i="9"/>
  <c r="C8" i="7"/>
  <c r="H17" i="7"/>
  <c r="H16" i="7"/>
  <c r="H12" i="7"/>
  <c r="E3" i="14" l="1"/>
  <c r="D16" i="14"/>
  <c r="D18" i="14"/>
  <c r="C23" i="14"/>
  <c r="C24" i="14"/>
  <c r="C26" i="14"/>
  <c r="C27" i="14"/>
  <c r="D29" i="14"/>
  <c r="E30" i="14"/>
  <c r="S39" i="13"/>
  <c r="S4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I37" authorId="0" shapeId="0" xr:uid="{7E4A3E52-A8FD-4BC8-A305-9C9382EC6CF5}">
      <text>
        <r>
          <rPr>
            <b/>
            <sz val="9"/>
            <color indexed="81"/>
            <rFont val="Tahoma"/>
            <family val="2"/>
          </rPr>
          <t>David Moore:</t>
        </r>
        <r>
          <rPr>
            <sz val="9"/>
            <color indexed="81"/>
            <rFont val="Tahoma"/>
            <family val="2"/>
          </rPr>
          <t xml:space="preserve">
10-yr US Treasury Bond (10/22/2020 6:00am PST)
</t>
        </r>
      </text>
    </comment>
    <comment ref="N37" authorId="0" shapeId="0" xr:uid="{2C0E2DBC-A9D6-4CDE-B560-DF2047258E7C}">
      <text>
        <r>
          <rPr>
            <b/>
            <sz val="9"/>
            <color indexed="81"/>
            <rFont val="Tahoma"/>
            <family val="2"/>
          </rPr>
          <t>David Moore:</t>
        </r>
        <r>
          <rPr>
            <sz val="9"/>
            <color indexed="81"/>
            <rFont val="Tahoma"/>
            <family val="2"/>
          </rPr>
          <t xml:space="preserve">
Damodaran Retail(online) industry average EV/
EBITDA
</t>
        </r>
      </text>
    </comment>
    <comment ref="F101" authorId="0" shapeId="0" xr:uid="{E8BEE780-61F8-4E15-B845-BF34D671AD67}">
      <text>
        <r>
          <rPr>
            <b/>
            <sz val="9"/>
            <color indexed="81"/>
            <rFont val="Tahoma"/>
            <family val="2"/>
          </rPr>
          <t>David Moore:</t>
        </r>
        <r>
          <rPr>
            <sz val="9"/>
            <color indexed="81"/>
            <rFont val="Tahoma"/>
            <family val="2"/>
          </rPr>
          <t xml:space="preserve">
Discount rate used by SFIX for leases. (See FY2020 10K page 60)
</t>
        </r>
      </text>
    </comment>
    <comment ref="F105" authorId="0" shapeId="0" xr:uid="{432FFB97-2ECE-451A-9CDB-DBA8F7F6648C}">
      <text>
        <r>
          <rPr>
            <b/>
            <sz val="9"/>
            <color indexed="81"/>
            <rFont val="Tahoma"/>
            <family val="2"/>
          </rPr>
          <t>David Moore:</t>
        </r>
        <r>
          <rPr>
            <sz val="9"/>
            <color indexed="81"/>
            <rFont val="Tahoma"/>
            <family val="2"/>
          </rPr>
          <t xml:space="preserve">
10-year US Treasury bond. 10/22 at 5:22am PST
</t>
        </r>
      </text>
    </comment>
    <comment ref="F106" authorId="0" shapeId="0" xr:uid="{A7FB39EC-7DB0-4918-91E6-E437EA833AFC}">
      <text>
        <r>
          <rPr>
            <b/>
            <sz val="9"/>
            <color indexed="81"/>
            <rFont val="Tahoma"/>
            <family val="2"/>
          </rPr>
          <t>David Moore:</t>
        </r>
        <r>
          <rPr>
            <sz val="9"/>
            <color indexed="81"/>
            <rFont val="Tahoma"/>
            <family val="2"/>
          </rPr>
          <t xml:space="preserve">
Implied equity risk premium updated 10/1/2020. Source: Damodaran trailing 12-month, adjusted for payout)</t>
        </r>
      </text>
    </comment>
    <comment ref="D125" authorId="0" shapeId="0" xr:uid="{5D40CBD5-4766-439A-99D1-8B99A1F48CA9}">
      <text>
        <r>
          <rPr>
            <b/>
            <sz val="9"/>
            <color indexed="81"/>
            <rFont val="Tahoma"/>
            <family val="2"/>
          </rPr>
          <t>David Moore:</t>
        </r>
        <r>
          <rPr>
            <sz val="9"/>
            <color indexed="81"/>
            <rFont val="Tahoma"/>
            <family val="2"/>
          </rPr>
          <t xml:space="preserve">
Full indsutry average (taken from Damodaran website) Retail (online)
</t>
        </r>
      </text>
    </comment>
  </commentList>
</comments>
</file>

<file path=xl/sharedStrings.xml><?xml version="1.0" encoding="utf-8"?>
<sst xmlns="http://schemas.openxmlformats.org/spreadsheetml/2006/main" count="846" uniqueCount="418">
  <si>
    <t>Sector</t>
  </si>
  <si>
    <t>Consumer Discretionary</t>
  </si>
  <si>
    <t>Industry</t>
  </si>
  <si>
    <t>Source</t>
  </si>
  <si>
    <t>Peers</t>
  </si>
  <si>
    <t>Proxy Statement</t>
  </si>
  <si>
    <t>ValuEngine</t>
  </si>
  <si>
    <t>Seeking Alpha</t>
  </si>
  <si>
    <t>Mergent</t>
  </si>
  <si>
    <t>Capital IQ</t>
  </si>
  <si>
    <t>Proxy Statements</t>
  </si>
  <si>
    <t>10K</t>
  </si>
  <si>
    <t>List of Possible Competitors</t>
  </si>
  <si>
    <t>Business Description</t>
  </si>
  <si>
    <t>Exchange</t>
  </si>
  <si>
    <t>Include (Y/N)</t>
  </si>
  <si>
    <t>N</t>
  </si>
  <si>
    <t>NYSE</t>
  </si>
  <si>
    <t>Y</t>
  </si>
  <si>
    <t>NASDAQ</t>
  </si>
  <si>
    <t>Farfetch Limited
Revolve Group, Inc
The RealReal, Inc
Etsy, Inc
Galaxy Entertainment Group Ltd</t>
  </si>
  <si>
    <t>Box
LogMeIn
TrueCar
Cloudera
Match Group 
Twilio
Docusign
RH
Wayfair
Dropbox
Shutterfly
Yelp
Etsy
Shutterstock
Zendesk
GrubHub
TripAdvisor
Zillow Group</t>
  </si>
  <si>
    <t xml:space="preserve">SFIX 10k </t>
  </si>
  <si>
    <t>None listed</t>
  </si>
  <si>
    <t>Diversified Retail</t>
  </si>
  <si>
    <t>Tapestry Inc
Foot Locker Inc
Canada Goose HD
Capri Holdings</t>
  </si>
  <si>
    <t>Macy's Inc
Kohl's Corp.
Sears Holdings Corp
Nordstrom, Inc.
L Brands, Inc
Penney (J.C.) Co.,Inc. (Holding Co.)
PVH Corp
Burlington Stores Inc
HanesBrands Inc
Ralph Lauren Corp
Ascena Retail Group Inc
Under Armour Inc
Neiman Marcus Group Ltd LLC</t>
  </si>
  <si>
    <t>Morningstar</t>
  </si>
  <si>
    <t>Wayfair
Vince Holding Corp</t>
  </si>
  <si>
    <t>Financial Times</t>
  </si>
  <si>
    <t>Bloomberg</t>
  </si>
  <si>
    <t>Revolve Group Inc
Lands' End
1-800 Flowers
Petmed Express
Carparts.com
Wayfair
Chewy</t>
  </si>
  <si>
    <t>Revolve Group Inc
Grubhub Inc
Overstock Inc
Etsy Inc
Farfetch Ltd
Snap Inc
Chicos FAS Inc
Lands' End Inc
The RealReal Inc</t>
  </si>
  <si>
    <t>Urban Outfitters, Inc.;
lululemon athletica inc
Abercrombie &amp; Fitch Co
G-III Apparel Group Ltd.
Columbia Sportswear Co.
Tailored Brands Inc
Bon-Ton Stores Inc
Genesco Inc.
Chico's FAS Inc
Express Inc
Stein Mart, Inc.</t>
  </si>
  <si>
    <t>Listed by SFIX</t>
  </si>
  <si>
    <t>Lists SFIX</t>
  </si>
  <si>
    <t>Betterware de Mexico SAB de CV3
Systemax Inc. 
China VTV Ltd 
RealReal Inc
PC Connection, Inc. 
WeTrade Group Inc 
Overstock.com Inc
Qurate Retail Inc
Dada Nexus Ltd 
Farfetch Ltd
Vipshop Holdings Ltd - ADR</t>
  </si>
  <si>
    <t>ETSY</t>
  </si>
  <si>
    <t xml:space="preserve"> Etsy, Inc. operates online market places for buyers  
and sellers primarily in the United States, the United  
Kingdom, Canada, Australia, France, and Germany. Its  
online market places include Etsy.com and Reverb.com.  
The company offers approximately 66 million items  
in its various retail categories to buyers. It also  
provides various seller services, including Etsy Payments,  
a payment processing service; Etsy Ads, an advertising  
platform; and Etsy Shipping Labels, which allows sellers  
in the United States, Canada, the United Kingdom,  
and Australia to purchase discounted shipping labels.  
In addition, the company offers various seller tools,  
including Shop Manager dashboard, a centralized hub  
for Etsy sellers to track orders, manage inventory,  
view metrics and statistics, and have conversations  
with their customers; Targeted Offers, a sales, promotion,  
and media tool; educational resources, such as blog  
posts and video tutorials for sellers; Etsy Seller  
Handbook; and Etsy Teams, a platform to build personal  
relationships with other Etsy sellers. Etsy, Inc.  
was founded in 2005 and is headquartered in Brooklyn,  
New York.</t>
  </si>
  <si>
    <t>Proxy, Seeking Alpha, Capital IQ</t>
  </si>
  <si>
    <t xml:space="preserve"> Revolve Group, Inc. operates as an online fashion retailer  
for consumers in the United States and internationally.  
The company operates through two segments, REVOLVE  
and FORWARD. It operates a platform that connects  
consumers and global fashion influencers, as well  
as emerging, established, and owned brands. The company  
provides women's apparel, footwear, accessories, and  
beauty styles under established and emerging brands,  
as well as owned brands. It also offers various luxury  
brands. The company was formerly known as Advance  
Holdings, LLC and changed its name to Revolve Group,  
Inc. in October 2018. Revolve Group, Inc. was founded  
in 2003 and is headquartered in Cerritos, Califor  
nia.</t>
  </si>
  <si>
    <t>RVLV</t>
  </si>
  <si>
    <t>Seeking Alpha, Capital IQ, Bloomberg</t>
  </si>
  <si>
    <t>FTCH</t>
  </si>
  <si>
    <t>REAL</t>
  </si>
  <si>
    <t>W</t>
  </si>
  <si>
    <t>OSTK</t>
  </si>
  <si>
    <t>GRUB</t>
  </si>
  <si>
    <t>CHWY</t>
  </si>
  <si>
    <t>DBX</t>
  </si>
  <si>
    <t>SSTK</t>
  </si>
  <si>
    <t xml:space="preserve"> Farfetch Limited, through its subsidiary, Farfetch.com  
Limited, provides an online marketplace for luxury  
goods in the Americas, Europe, the Middle East, Africa,  
and the Asia Pacific. It operates in three segments:  
Digital Platform, Brand Platform, and In-Store. The  
company operates Farfetch.com, an online marketplace,  
as well as Farfetch app for retailers and brands.  
It also offers web design, build, development, and  
retail distribution solutions for retailers and brands.  
In addition, the company operates two Browns retail  
stores in London; one Stadium Goods retail store in  
New York; and two New Guards Off-White stores in Las  
Vegas and New York. Further, it operates approximately  
50 New Guards franchised retail stores. Farfetch Limited  
was founded in 2007 and is headquartered in London,  
the United Kingdom. </t>
  </si>
  <si>
    <t xml:space="preserve"> The RealReal, Inc. operates an online marketplace for  
consigned luxury goods. It offers various resale product  
categories, including women’s, men’s, kids’, jewelry,  
and watches, as well as home and art products. The  
company was founded in 2011 and is headquartered in  
San Francisco, California.</t>
  </si>
  <si>
    <t xml:space="preserve"> Wayfair Inc. engages in the e-commerce business in  
the United States and internationally. It provides  
approximately eighteen million products for the home  
sector under various brands. The company offers selection  
of furniture, décor, decorative accents, housewares,  
seasonal décor, and other home goods through its sites,  
including Wayfair, Joss &amp; Main, AllModern, Birch Lane,  
and Perigold brands. Wayfair Inc. was founded in 2002  
and is headquartered in Boston, Massachusetts.</t>
  </si>
  <si>
    <t xml:space="preserve"> Overstock.com, Inc. operates as an online retailer  
in the United States and internationally. It operates  
through Retail, tZERO, and Medici Ventures segments.  
The company offers furniture; and home décor, including  
rugs, bedding and bath, home improvement, kitchen  
items, and other related products. It also operates  
Worldstock Fair Trade, a store that provides handcrafted  
products; and Supplier Oasis, a single integration  
point for partners to manage their products, inventory,  
and sales channels, as well as obtain multi-channel  
fulfillment services through its distribution network.  
In addition, the company offers businesses advertising  
products or services on its Website. It provides its  
products and services through its Internet Websites,  
which include overstock.com, o.co, and o.biz. Further,  
it focuses on the development and commercialization  
of financial applications of blockchain technologies.  
The company was formerly known as D2-Discounts Direct  
and changed its name to Overstock.com, Inc. in October  
1999. Overstock.com, Inc. was founded in 1997 and  
is headquartered in Midvale, Utah</t>
  </si>
  <si>
    <t>Grubhub Inc., together with its subsidiaries, provides  
an online and mobile platform for restaurant pick-up  
and delivery orders in the United States. The company  
connects approximately 300,000 local restaurants with  
diners in various cities. It offers Grubhub and Seamless  
mobile applications and mobile Websites; and operates  
Websites through grubhub.com, seamless.com, and menupages.com.  
The company also provides corporate program that offers  
employees with various food and ordering options,  
including options for individual meals, group ordering,  
and catering, as well as proprietary tools that consolidate  
various food ordering into a single online account.  
In addition, it offers Allmenus.com, which provide  
an aggregated database of approximately 595,000 menus  
from restaurants in 50 U.S. states; Grubhub for Restaurants,  
a responsive web application that can be accessed  
from computers and mobile devices, as well as Grubhub-provided  
tablets; point of sale (POS) integration, which allows  
restaurants to manage Grubhub orders and update their  
menus directly from their existing POS system; and  
Website and mobile application design and hosting  
services for restaurants, as well as technology and  
fulfillment services, including order transmission  
and customer relationship management tools. The company  
was formerly known as GrubHub Seamless Inc. and changed  
its name to Grubhub Inc. in February 2014. Grubhub  
Inc. was founded in 1999 and is headquartered in Chicago,  
Illinois.</t>
  </si>
  <si>
    <t xml:space="preserve"> Chewy, Inc., together with its subsidiaries, engages  
in the pure-play e-commerce business in the United  
States. The company provides pet food and treats,  
pet supplies and pet medications, and other pet-health  
products, as well as pet services for dogs, cats,  
fish, birds, small pets, horses, and reptiles through  
its chewy.com retail Website, as well as its mobile  
applications. It offers approximately 60,000 products  
from 2,000 partner brands. The company was founded  
in 2010 and is headquartered in Dania Beach, Florida.  
Chewy, Inc. is a subsidiary of PetSmart, Inc</t>
  </si>
  <si>
    <t xml:space="preserve">Dropbox, Inc. provides a collaboration platform worldwide.  
The company’s platform allows individuals, teams,  
and organizations to collaborate and sign up for free  
through its website or app, as well as upgrade to  
a paid subscription plan for premium features. As  
of December 31, 2019, it had approximately 600 million  
registered users across 180 countries. The company  
was formerly known as Evenflow, Inc. and changed its  
name to Dropbox, Inc. in October 2009. Dropbox, Inc.  
was founded in 2007 and is headquartered in San Francisco,  
California. </t>
  </si>
  <si>
    <t xml:space="preserve"> Shutterstock, Inc., a technology company, provides  
content, and tools and services in North America,  
Europe, and internationally. It offers image services  
consisting of photographs, vectors, and illustrations,  
which is used in visual communications, such as Websites,  
digital and print marketing materials, corporate communications,  
books, publications, and others; footage services,  
including video clips, filmed by industry experts  
and cinema grade video effects, and HD and 4K formats  
that are integrated into Websites, social media, marketing  
campaigns, and cinematic productions; and music services  
comprising music tracks and sound effects, which are  
used to complement digital imagery. The company provides  
its services under the Shutterstock, Bigstock, Offset,  
Shutterstock Select, Shutterstock Custom, Shutterstock  
Editorial, and Shutterstock Music and PremiumBeat  
names, as well as Superior search, Application programming  
interface, and Editor and Editor Pro tools to enhance  
workflow and project management needs, and search  
capabilities. It serves marketing professionals and  
organizations, media and broadcast companies, and  
small and medium-sized businesses through online platform.  
Shutterstock, Inc. was founded in 2003 and is headquartered  
in New York, New York. </t>
  </si>
  <si>
    <t>SFIX</t>
  </si>
  <si>
    <t xml:space="preserve"> Stitch Fix, Inc. sells a range of apparel, shoes, and  
accessories through its Website and mobile application  
in the United States. It offers denim, dresses, blouses,  
skirts, shoes, jewelry, and handbags for men, women,  
and kids under the Stitch Fix brand. The company was  
formerly known as rack habit inc. and changed its  
name to Stitch Fix, Inc. in October 2011. Stitch Fix,  
Inc. was founded in 2011 and is headquartered in San  
Francisco, California.</t>
  </si>
  <si>
    <t>Seeking Alpha, Capital IQ, Financial Times</t>
  </si>
  <si>
    <t>Proxy, Morningstar, Bloomberg</t>
  </si>
  <si>
    <t>Capital IQ, Financial Times</t>
  </si>
  <si>
    <t>Proxy, CapitalIQ</t>
  </si>
  <si>
    <t>Proxy</t>
  </si>
  <si>
    <t>No Peer Group</t>
  </si>
  <si>
    <t>8 firms</t>
  </si>
  <si>
    <t>Industry (SIC code: 5961)</t>
  </si>
  <si>
    <t>Valuation with Public Comparables</t>
  </si>
  <si>
    <t>Enterprise Value Multiples</t>
  </si>
  <si>
    <t>Equity Value Multiples</t>
  </si>
  <si>
    <t>_</t>
  </si>
  <si>
    <t>Market Value</t>
  </si>
  <si>
    <t>Enterprise</t>
  </si>
  <si>
    <t>Forward</t>
  </si>
  <si>
    <t>5 year growth</t>
  </si>
  <si>
    <t>BV</t>
  </si>
  <si>
    <t>Price(Market)-</t>
  </si>
  <si>
    <t xml:space="preserve">Cash/MS as </t>
  </si>
  <si>
    <t>Company</t>
  </si>
  <si>
    <t>Ticker</t>
  </si>
  <si>
    <t>Share price</t>
  </si>
  <si>
    <t>of Equity</t>
  </si>
  <si>
    <t>Value</t>
  </si>
  <si>
    <t>EV/Sales</t>
  </si>
  <si>
    <t>EV/EBIT</t>
  </si>
  <si>
    <t>EV/EBITDA</t>
  </si>
  <si>
    <t>EPS</t>
  </si>
  <si>
    <t>rate</t>
  </si>
  <si>
    <t>Equity</t>
  </si>
  <si>
    <t>P/E</t>
  </si>
  <si>
    <t>PEG</t>
  </si>
  <si>
    <t>to-Book</t>
  </si>
  <si>
    <t>% of TA</t>
  </si>
  <si>
    <t>High</t>
  </si>
  <si>
    <t>Mean</t>
  </si>
  <si>
    <t>Median</t>
  </si>
  <si>
    <t>Low</t>
  </si>
  <si>
    <t>Implied price per share</t>
  </si>
  <si>
    <t>Diluted shares outstanding</t>
  </si>
  <si>
    <t>Implied Equity Value</t>
  </si>
  <si>
    <t>Implied Enterprise Value</t>
  </si>
  <si>
    <t>Range of EV/Sales</t>
  </si>
  <si>
    <t>Range of EV/EBIT</t>
  </si>
  <si>
    <t>Range of EV/EBITDA</t>
  </si>
  <si>
    <t>Range of Forward P/E</t>
  </si>
  <si>
    <t>Range of Forward PEG</t>
  </si>
  <si>
    <t>Range of Price-to-Book</t>
  </si>
  <si>
    <t>Excess Cash</t>
  </si>
  <si>
    <t>Stitch Fix Inc</t>
  </si>
  <si>
    <t>Valuation for period ended 09/25/2020</t>
  </si>
  <si>
    <t>APRN</t>
  </si>
  <si>
    <t>Not listed</t>
  </si>
  <si>
    <t>Blue Apron Holdings, Inc. operates direct-to-consumer  
platform that delivers original recipes, and fresh  
and seasonal ingredients. It also operates Blue Apron  
Market, an e-commerce market that provides cooking  
tools, utensils, pantry items, and other products.  
In addition, the company offers Blue Apron Wine, a  
direct-to-consumer wine delivery service that sells  
wines, which can be paired with its meals; and supplies  
poultry, beef, and lamb. It serves college graduates,  
young couples, families, singles, and empty nesters.  
The company offers its services through order selections  
on Website or mobile application primarily in the  
United States. Blue Apron Holdings, Inc. was founded  
in 2012 and is headquartered in New York, New Yor  
k</t>
  </si>
  <si>
    <t>ZG</t>
  </si>
  <si>
    <t xml:space="preserve"> Zillow Group, Inc. operates real estate brands on mobile  
and the web in the United States. It operates through  
three segments: Homes; Internet, Media &amp; Technology;  
and Mortgages. The company’s platform offers buying,  
selling, renting, and financing services for residential  
real estate. It also provides a suite of marketing  
software and technology solutions; and advertising  
services. The company’s portfolio of consumer brands  
consists of Zillow, Zillow Offers, Zillow Home Loans,  
Trulia, StreetEasy, HotPads, Naked Apartments, and  
Out East; and business brands for real estate, rental,  
and mortgage professionals include Mortech, dotloop,  
Bridge Interactive and New Home Feed. Zillow Group,  
Inc. was founded in 2004 and is headquartered in Seattle,  
Washington. </t>
  </si>
  <si>
    <t>Etsy, Inc</t>
  </si>
  <si>
    <t>The RealReal, Inc</t>
  </si>
  <si>
    <t>Wayfair, Inc</t>
  </si>
  <si>
    <t>Revolve Group, Inc</t>
  </si>
  <si>
    <t>Overstock Inc</t>
  </si>
  <si>
    <t>Farfetch Limited</t>
  </si>
  <si>
    <t>Chewy, Inc</t>
  </si>
  <si>
    <t>LTM Calculations For</t>
  </si>
  <si>
    <t>Fiscal year ended</t>
  </si>
  <si>
    <t>9-months ended</t>
  </si>
  <si>
    <t>LTM</t>
  </si>
  <si>
    <t>Revenues</t>
  </si>
  <si>
    <t>EBIT</t>
  </si>
  <si>
    <t>EBITDA</t>
  </si>
  <si>
    <t>As of</t>
  </si>
  <si>
    <t>Net debt</t>
  </si>
  <si>
    <t>Preferred stock</t>
  </si>
  <si>
    <t>Non-controlling Interest</t>
  </si>
  <si>
    <t>Cash/MS</t>
  </si>
  <si>
    <t>Total Assets</t>
  </si>
  <si>
    <t>6-months ended</t>
  </si>
  <si>
    <t>(Figures in millons, except for per share data)</t>
  </si>
  <si>
    <t>Stitch Fix (SFIX) DISCOUNTED CASH FLOWS MODEL</t>
  </si>
  <si>
    <t>Fiscal year ends in July USD in thousands except per share data.</t>
  </si>
  <si>
    <t>x</t>
  </si>
  <si>
    <t>FORECASTING CASH FLOWS</t>
  </si>
  <si>
    <t>Historical</t>
  </si>
  <si>
    <t>Projected</t>
  </si>
  <si>
    <t>Revenue, net</t>
  </si>
  <si>
    <t>Cost of goods sold</t>
  </si>
  <si>
    <t>Gross Profit</t>
  </si>
  <si>
    <t>Selling, general &amp; administrative expenses</t>
  </si>
  <si>
    <t>Taxes</t>
  </si>
  <si>
    <t>Tax-effected EBIT</t>
  </si>
  <si>
    <t>Depreciation and amortization</t>
  </si>
  <si>
    <t>Capex</t>
  </si>
  <si>
    <t>Change in Net Working Capital</t>
  </si>
  <si>
    <t>Unlevered free cash flows</t>
  </si>
  <si>
    <t>Assumptions</t>
  </si>
  <si>
    <t>Sales Growth</t>
  </si>
  <si>
    <t>Step</t>
  </si>
  <si>
    <t>COGS (as % of revenues)</t>
  </si>
  <si>
    <t>SG&amp;A expenses (as % of revenues)</t>
  </si>
  <si>
    <t>Capex (as % of revenues)</t>
  </si>
  <si>
    <t>Depreciation and amortization (as % of capex)</t>
  </si>
  <si>
    <t>Gross margin</t>
  </si>
  <si>
    <t>TERMINAL VALUE AND EQUITY VALUE PER SHARE</t>
  </si>
  <si>
    <t>Terminal Value - Perpetuity Growth</t>
  </si>
  <si>
    <t>Terminal Value - Exit Multiple</t>
  </si>
  <si>
    <t>Option Drag</t>
  </si>
  <si>
    <t>Unlevered FCF in terminal year</t>
  </si>
  <si>
    <t>Terminal year EBITDA</t>
  </si>
  <si>
    <t>Terminal growth rate</t>
  </si>
  <si>
    <t>Terminal year EBITDA multiple</t>
  </si>
  <si>
    <t>Implied Equity Value (Using TV)</t>
  </si>
  <si>
    <t>Terminal value</t>
  </si>
  <si>
    <t>Basic Shares</t>
  </si>
  <si>
    <t>WACC - current</t>
  </si>
  <si>
    <t>Value of Options</t>
  </si>
  <si>
    <t>PV of Terminal Value</t>
  </si>
  <si>
    <t>Implied Equity Value per Share</t>
  </si>
  <si>
    <t>PV of Unlevered Free Cash Flows</t>
  </si>
  <si>
    <t>Treasury Outstanding Options</t>
  </si>
  <si>
    <t>Total Enterprise Value</t>
  </si>
  <si>
    <t>Net debt + Preferred stock + NCI</t>
  </si>
  <si>
    <t>Diluted Shares Outstanding</t>
  </si>
  <si>
    <t>Total Proceeds</t>
  </si>
  <si>
    <t>WORKING CAPITAL SCHEDULE</t>
  </si>
  <si>
    <t>Total current assets</t>
  </si>
  <si>
    <t>Cash &amp; cash equivalents</t>
  </si>
  <si>
    <t>Short-term investments</t>
  </si>
  <si>
    <t>Total non-cash current assets</t>
  </si>
  <si>
    <t>Total current liabilities</t>
  </si>
  <si>
    <t>Operating lease liabilities</t>
  </si>
  <si>
    <t>Total non-debt current liabilities</t>
  </si>
  <si>
    <t>Non-cash Net Working Capital</t>
  </si>
  <si>
    <t>Change in NWC</t>
  </si>
  <si>
    <t>Non-cash NWC as a % of Sale</t>
  </si>
  <si>
    <t>DILUTED SHARES</t>
  </si>
  <si>
    <t>Treasury with a Twist- Exercisable Options</t>
  </si>
  <si>
    <t>Treasury Method- All Outstanding Options</t>
  </si>
  <si>
    <t>Basic share count</t>
  </si>
  <si>
    <t>Exercisable options</t>
  </si>
  <si>
    <t>Oustanding options</t>
  </si>
  <si>
    <t>Exercise price</t>
  </si>
  <si>
    <t>Current share price</t>
  </si>
  <si>
    <t>In-the-money exercisable options</t>
  </si>
  <si>
    <t>Total proceeds</t>
  </si>
  <si>
    <t>Total shares repurchased</t>
  </si>
  <si>
    <t>Unvested RSUs</t>
  </si>
  <si>
    <t>WACC</t>
  </si>
  <si>
    <t>Current</t>
  </si>
  <si>
    <t>Percent of Capital</t>
  </si>
  <si>
    <t>Total debt</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</si>
  <si>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</si>
  <si>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</si>
  <si>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</si>
  <si>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</si>
  <si>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</si>
  <si>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</si>
  <si>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</si>
  <si>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</si>
  <si>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</si>
  <si>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</si>
  <si>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</si>
  <si>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</si>
  <si>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</si>
  <si>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</si>
  <si>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</si>
  <si>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</si>
  <si>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</si>
  <si>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</si>
  <si>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Debt</t>
  </si>
  <si>
    <t>Tax Rate</t>
  </si>
  <si>
    <t>Overstock.com Inc.</t>
  </si>
  <si>
    <t>Lululemon athletica</t>
  </si>
  <si>
    <t>LULU</t>
  </si>
  <si>
    <t>Duluth Holdings</t>
  </si>
  <si>
    <t>DLTH</t>
  </si>
  <si>
    <t>Average unlevered beta</t>
  </si>
  <si>
    <t>Average unlevered beta (Full industry)</t>
  </si>
  <si>
    <t>SFIX Debt/Equity ratio</t>
  </si>
  <si>
    <t>SFIX Tax Rate</t>
  </si>
  <si>
    <t>SFIX Levered Beta</t>
  </si>
  <si>
    <t>SENSITIVITY ANALYSIS</t>
  </si>
  <si>
    <t>Beta Step</t>
  </si>
  <si>
    <t>Exit Multiple Step</t>
  </si>
  <si>
    <t>Exit Multiple</t>
  </si>
  <si>
    <t>WACC Step</t>
  </si>
  <si>
    <t>Growth Step</t>
  </si>
  <si>
    <t>g</t>
  </si>
  <si>
    <t>Scenario Summary</t>
  </si>
  <si>
    <t>Best_Case</t>
  </si>
  <si>
    <t>Base_Case</t>
  </si>
  <si>
    <t>Worst_case</t>
  </si>
  <si>
    <t>Changing Cells:</t>
  </si>
  <si>
    <t>Terminal year Sales Growth</t>
  </si>
  <si>
    <t>COGS (as % of rev)</t>
  </si>
  <si>
    <t>Terminal SGA (as % of revenue)</t>
  </si>
  <si>
    <t>Result Cells:</t>
  </si>
  <si>
    <t>Implied Equity value (Perpetuity, exercisable, with a twist)</t>
  </si>
  <si>
    <t>Implied Equity value (Perpetuity, oustanding, treasury)</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</si>
  <si>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</si>
  <si>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</si>
  <si>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</si>
  <si>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</si>
  <si>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</si>
  <si>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</si>
  <si>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</si>
  <si>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</si>
  <si>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options outstanding =</t>
  </si>
  <si>
    <t>Enter the number of shares outstanding =</t>
  </si>
  <si>
    <t>Circuit Breaker</t>
  </si>
  <si>
    <t>OFF</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</si>
  <si>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</si>
  <si>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</si>
  <si>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</si>
  <si>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</si>
  <si>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</si>
  <si>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</si>
  <si>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</si>
  <si>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</si>
  <si>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</si>
  <si>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</si>
  <si>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</si>
  <si>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</si>
  <si>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</si>
  <si>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</si>
  <si>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</si>
  <si>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</si>
  <si>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</si>
  <si>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</si>
  <si>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</si>
  <si>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Powered by Clearbit</t>
  </si>
  <si>
    <t>Stitch Fix Inc (NMS: SFIX)</t>
  </si>
  <si>
    <t xml:space="preserve">Exchange rate used is that of the Year End reported date </t>
  </si>
  <si>
    <t xml:space="preserve">As Reported Annual Income Statement </t>
  </si>
  <si>
    <t>Report Date</t>
  </si>
  <si>
    <t>08/01/2020</t>
  </si>
  <si>
    <t>08/03/2019</t>
  </si>
  <si>
    <t>07/28/2018</t>
  </si>
  <si>
    <t>07/29/2017</t>
  </si>
  <si>
    <t>07/30/2016</t>
  </si>
  <si>
    <t>Currency</t>
  </si>
  <si>
    <t>USD</t>
  </si>
  <si>
    <t>Audit Status</t>
  </si>
  <si>
    <t>Not Qualified</t>
  </si>
  <si>
    <t>Consolidated</t>
  </si>
  <si>
    <t>Yes</t>
  </si>
  <si>
    <t>Scale</t>
  </si>
  <si>
    <t>Thousands</t>
  </si>
  <si>
    <t>Gross profit</t>
  </si>
  <si>
    <t>Operating income (loss)</t>
  </si>
  <si>
    <t>Remeasurement of preferred stock warrant liability</t>
  </si>
  <si>
    <t>-</t>
  </si>
  <si>
    <t>Interest income</t>
  </si>
  <si>
    <t>Other income, net</t>
  </si>
  <si>
    <t>Income (loss) before income taxes - United States</t>
  </si>
  <si>
    <t>Income (loss) before income taxes - Foreign</t>
  </si>
  <si>
    <t>Income (loss) before income taxes</t>
  </si>
  <si>
    <t>Current federal provision (benefit) for income taxes</t>
  </si>
  <si>
    <t>Current state provision (benefit) for income taxes</t>
  </si>
  <si>
    <t>Current foreign provision (benefit) for income taxes</t>
  </si>
  <si>
    <t>Total current provision (benefit) for income taxes</t>
  </si>
  <si>
    <t>Deferred federal provision (benefit) for income taxes</t>
  </si>
  <si>
    <t>Deferred state provision (benefit) for income taxes</t>
  </si>
  <si>
    <t>Deferred foreign provision (benefit) for income taxes</t>
  </si>
  <si>
    <t>Total deferred provision (benefit) for income taxes</t>
  </si>
  <si>
    <t>Provision for income taxes</t>
  </si>
  <si>
    <t>Net income (loss) &amp; comprehensive income (loss)</t>
  </si>
  <si>
    <t>Less: noncumulative dividends to preferred stockholders</t>
  </si>
  <si>
    <t>Less: undistributed earnings to participating securities</t>
  </si>
  <si>
    <t>Net income (loss) attributable to common stockholders</t>
  </si>
  <si>
    <t>Weighted average shares outstanding - basic</t>
  </si>
  <si>
    <t>Weighted average shares outstanding - diluted</t>
  </si>
  <si>
    <t>Year end shares outstanding</t>
  </si>
  <si>
    <t>Net earnings (loss) per share - basic</t>
  </si>
  <si>
    <t>Net earnings (loss) per share - diluted</t>
  </si>
  <si>
    <t>Total number of employees</t>
  </si>
  <si>
    <t>Number of common stockholders</t>
  </si>
  <si>
    <t>Foreign currency translation adjustments</t>
  </si>
  <si>
    <t>FOR DCF MODEL</t>
  </si>
  <si>
    <t xml:space="preserve">As Reported Annual Balance Sheet </t>
  </si>
  <si>
    <t>Cash</t>
  </si>
  <si>
    <t>Restricted cash</t>
  </si>
  <si>
    <t>Inventory, net</t>
  </si>
  <si>
    <t>Prepaid expenses &amp; other current assets</t>
  </si>
  <si>
    <t>Long-term investments</t>
  </si>
  <si>
    <t>Computer equipment</t>
  </si>
  <si>
    <t>Office furniture &amp; equipment</t>
  </si>
  <si>
    <t>Leasehold improvements</t>
  </si>
  <si>
    <t>Capitalized software</t>
  </si>
  <si>
    <t>Construction in progress</t>
  </si>
  <si>
    <t>Building &amp; land</t>
  </si>
  <si>
    <t>Total property &amp; equipment, gross</t>
  </si>
  <si>
    <t>Less accumulated depreciation &amp; amortization</t>
  </si>
  <si>
    <t>Property &amp; equipment, net</t>
  </si>
  <si>
    <t>Operating lease right-of-use assets</t>
  </si>
  <si>
    <t>Deferred tax assets</t>
  </si>
  <si>
    <t>Restricted cash, net of current portion</t>
  </si>
  <si>
    <t>Other long-term assets</t>
  </si>
  <si>
    <t>Total assets</t>
  </si>
  <si>
    <t>Accounts payable</t>
  </si>
  <si>
    <t>Compensation &amp; related benefits</t>
  </si>
  <si>
    <t>Advertising</t>
  </si>
  <si>
    <t>Sales taxes</t>
  </si>
  <si>
    <t>Shipping &amp; freight</t>
  </si>
  <si>
    <t>Accrued accounts payable</t>
  </si>
  <si>
    <t>Inventory purchases</t>
  </si>
  <si>
    <t>Property &amp; equipment</t>
  </si>
  <si>
    <t>Other accrued liabilities</t>
  </si>
  <si>
    <t>Accrued liabilities</t>
  </si>
  <si>
    <t>Preferred stock warrant liability</t>
  </si>
  <si>
    <t>Gift card liability</t>
  </si>
  <si>
    <t>Deferred revenue</t>
  </si>
  <si>
    <t>Other current liabilities</t>
  </si>
  <si>
    <t>Operating lease liabilities, net of current portion</t>
  </si>
  <si>
    <t>Deferred rent, net of current portion</t>
  </si>
  <si>
    <t>Other long-term liabilities</t>
  </si>
  <si>
    <t>Total liabilities</t>
  </si>
  <si>
    <t>Convertible preferred stock</t>
  </si>
  <si>
    <t>Class A common stock</t>
  </si>
  <si>
    <t>Class B common stock</t>
  </si>
  <si>
    <t>Common stock</t>
  </si>
  <si>
    <t>Additional paid-in capital</t>
  </si>
  <si>
    <t>Accumulated other comprehensive income (loss)</t>
  </si>
  <si>
    <t>Retained earnings (accumulated deficit)</t>
  </si>
  <si>
    <t>Total stockholders' equity</t>
  </si>
  <si>
    <t xml:space="preserve">As Reported Annual Cash Flow </t>
  </si>
  <si>
    <t>Net income (loss)</t>
  </si>
  <si>
    <t>Deferred income taxes</t>
  </si>
  <si>
    <t>Deferred tax assets valuation allowance</t>
  </si>
  <si>
    <t>Inventory reserves</t>
  </si>
  <si>
    <t>Compensation expense related to certain stock sales by current &amp; former employees</t>
  </si>
  <si>
    <t>Stock-based compensation expense</t>
  </si>
  <si>
    <t>Excess tax benefit related to stock-based compensation expense</t>
  </si>
  <si>
    <t>Depreciation &amp; amortization expense</t>
  </si>
  <si>
    <t>Loss on disposal of property &amp; equipment</t>
  </si>
  <si>
    <t>Inventory</t>
  </si>
  <si>
    <t>Prepaid expenses &amp; other assets</t>
  </si>
  <si>
    <t>Operating lease right-of-use assets &amp; liabilities</t>
  </si>
  <si>
    <t>Other liabilities</t>
  </si>
  <si>
    <t>Net cash flows from operating activities</t>
  </si>
  <si>
    <t>Purchases of property &amp; equipment</t>
  </si>
  <si>
    <t>Purchases of securities available-for-sale</t>
  </si>
  <si>
    <t>Sales of securities available-for-sale</t>
  </si>
  <si>
    <t>Maturities of securities available-for-sale</t>
  </si>
  <si>
    <t>Proceeds from sale of property &amp; equipment</t>
  </si>
  <si>
    <t>Net cash flows from investing activities</t>
  </si>
  <si>
    <t>Proceeds from initial public offering, net of underwriting discounts paid</t>
  </si>
  <si>
    <t>Proceeds from the exercise of stock options, net</t>
  </si>
  <si>
    <t>Payments for tax withholding related to vesting of restricted stock units</t>
  </si>
  <si>
    <t>Repurchase of Class B common stock related to early exercised options</t>
  </si>
  <si>
    <t>Issuance costs on revolving credit facility</t>
  </si>
  <si>
    <t>Payment of deferred offering costs</t>
  </si>
  <si>
    <t>Net cash flows from financing activities</t>
  </si>
  <si>
    <t>Net increase (decrease) in cash, cash equivalents, &amp; restricted cash</t>
  </si>
  <si>
    <t>Effect of exchange rate changes on cash</t>
  </si>
  <si>
    <t>Cash, cash equivalents, &amp; restricted cash at beginning of period</t>
  </si>
  <si>
    <t>Cash, cash equivalents, &amp; restricted cash at end of period</t>
  </si>
  <si>
    <t>Cash paid for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</si>
</sst>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d\-mmm\-yy;@"/>
    <numFmt numFmtId="165" formatCode="#,##0.0_);\(#,##0.0\)"/>
    <numFmt numFmtId="166" formatCode="0.0\x"/>
    <numFmt numFmtId="167" formatCode="0.0%_);\(0.0%\)"/>
    <numFmt numFmtId="168" formatCode="0.0%"/>
    <numFmt numFmtId="169" formatCode="_(0.0%_);\(0.0%\)"/>
    <numFmt numFmtId="170" formatCode="0&quot;A&quot;"/>
    <numFmt numFmtId="171" formatCode="0&quot;E&quot;"/>
    <numFmt numFmtId="172" formatCode="&quot;$&quot;#,##0.0_);\(&quot;$&quot;#,##0.0\)"/>
    <numFmt numFmtId="173" formatCode="#,##0.0000"/>
    <numFmt numFmtId="174" formatCode="0.000"/>
  </numFmts>
  <fonts count="37">
    <font>
      <sz val="11"/>
      <color theme="1"/>
      <name val="Calibri"/>
      <family val="2"/>
      <scheme val="minor"/>
    </font>
    <font>
      <sz val="10"/>
      <name val="Arial"/>
      <family val="2"/>
    </font>
    <font>
      <b/>
      <sz val="10"/>
      <name val="Arial"/>
      <family val="2"/>
    </font>
    <font>
      <sz val="11"/>
      <color theme="1"/>
      <name val="Calibri"/>
      <family val="2"/>
      <scheme val="minor"/>
    </font>
    <font>
      <b/>
      <sz val="11"/>
      <color theme="1"/>
      <name val="Calibri"/>
      <family val="2"/>
      <scheme val="minor"/>
    </font>
    <font>
      <b/>
      <sz val="20"/>
      <color theme="1"/>
      <name val="Times New Roman"/>
      <family val="1"/>
    </font>
    <font>
      <sz val="11"/>
      <color theme="1"/>
      <name val="Times New Roman"/>
      <family val="1"/>
    </font>
    <font>
      <i/>
      <sz val="11"/>
      <color theme="1"/>
      <name val="Times New Roman"/>
      <family val="1"/>
    </font>
    <font>
      <b/>
      <sz val="11"/>
      <color theme="1"/>
      <name val="Times New Roman"/>
      <family val="1"/>
    </font>
    <font>
      <sz val="11"/>
      <color rgb="FF0070C0"/>
      <name val="Times New Roman"/>
      <family val="1"/>
    </font>
    <font>
      <sz val="11"/>
      <color rgb="FF002060"/>
      <name val="Times New Roman"/>
      <family val="1"/>
    </font>
    <font>
      <sz val="11"/>
      <name val="Times New Roman"/>
      <family val="1"/>
    </font>
    <font>
      <sz val="11"/>
      <color rgb="FF0070C0"/>
      <name val="Calibri"/>
      <family val="2"/>
      <scheme val="minor"/>
    </font>
    <font>
      <sz val="11"/>
      <color theme="4"/>
      <name val="Calibri"/>
      <family val="2"/>
      <scheme val="minor"/>
    </font>
    <font>
      <b/>
      <sz val="11"/>
      <color theme="0"/>
      <name val="Times New Roman"/>
      <family val="1"/>
    </font>
    <font>
      <b/>
      <i/>
      <sz val="11"/>
      <color theme="0"/>
      <name val="Times New Roman"/>
      <family val="1"/>
    </font>
    <font>
      <b/>
      <sz val="11"/>
      <color rgb="FF0070C0"/>
      <name val="Times New Roman"/>
      <family val="1"/>
    </font>
    <font>
      <sz val="11"/>
      <color rgb="FF00B050"/>
      <name val="Times New Roman"/>
      <family val="1"/>
    </font>
    <font>
      <b/>
      <sz val="11"/>
      <name val="Times New Roman"/>
      <family val="1"/>
    </font>
    <font>
      <sz val="10"/>
      <color theme="4"/>
      <name val="Arial"/>
      <family val="2"/>
    </font>
    <font>
      <sz val="11"/>
      <color theme="8"/>
      <name val="Times New Roman"/>
      <family val="1"/>
    </font>
    <font>
      <b/>
      <sz val="10"/>
      <color indexed="8"/>
      <name val="Arial"/>
      <family val="2"/>
    </font>
    <font>
      <sz val="8"/>
      <name val="Arial"/>
      <family val="2"/>
    </font>
    <font>
      <b/>
      <sz val="10"/>
      <color indexed="18"/>
      <name val="Arial"/>
      <family val="2"/>
    </font>
    <font>
      <b/>
      <sz val="9"/>
      <color indexed="81"/>
      <name val="Tahoma"/>
      <family val="2"/>
    </font>
    <font>
      <sz val="9"/>
      <color indexed="81"/>
      <name val="Tahoma"/>
      <family val="2"/>
    </font>
    <font>
      <b/>
      <sz val="14"/>
      <name val="Times"/>
      <family val="1"/>
    </font>
    <font>
      <b/>
      <sz val="14"/>
      <name val="Geneva"/>
      <family val="2"/>
    </font>
    <font>
      <sz val="10"/>
      <name val="Times"/>
      <family val="1"/>
    </font>
    <font>
      <sz val="10"/>
      <color theme="4"/>
      <name val="Times"/>
      <family val="1"/>
    </font>
    <font>
      <b/>
      <i/>
      <sz val="10"/>
      <name val="Times"/>
      <family val="1"/>
    </font>
    <font>
      <i/>
      <sz val="10"/>
      <name val="Times"/>
      <family val="1"/>
    </font>
    <font>
      <i/>
      <sz val="10"/>
      <name val="Geneva"/>
      <family val="2"/>
    </font>
    <font>
      <b/>
      <sz val="10"/>
      <name val="Times"/>
      <family val="1"/>
    </font>
    <font>
      <sz val="8"/>
      <color rgb="FF000000"/>
      <name val="Arial"/>
      <family val="2"/>
    </font>
    <font>
      <b/>
      <sz val="16"/>
      <color rgb="FF000000"/>
      <name val="Arial"/>
      <family val="2"/>
    </font>
    <font>
      <b/>
      <sz val="10"/>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indexed="22"/>
        <bgColor indexed="24"/>
      </patternFill>
    </fill>
    <fill>
      <patternFill patternType="solid">
        <fgColor indexed="22"/>
        <bgColor indexed="7"/>
      </patternFill>
    </fill>
  </fills>
  <borders count="15">
    <border>
      <left/>
      <right/>
      <top/>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top style="thin">
        <color indexed="64"/>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1" fillId="0" borderId="0" applyFill="0"/>
    <xf numFmtId="0" fontId="3" fillId="0" borderId="0"/>
    <xf numFmtId="0" fontId="3" fillId="0" borderId="0"/>
    <xf numFmtId="0" fontId="3" fillId="0" borderId="0"/>
    <xf numFmtId="0" fontId="1" fillId="0" borderId="0" applyFill="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14">
    <xf numFmtId="0" fontId="0" fillId="0" borderId="0" xfId="0"/>
    <xf numFmtId="0" fontId="2" fillId="0" borderId="1" xfId="1" applyFont="1" applyBorder="1"/>
    <xf numFmtId="0" fontId="1" fillId="0" borderId="2" xfId="1" applyBorder="1"/>
    <xf numFmtId="0" fontId="1" fillId="0" borderId="0" xfId="1"/>
    <xf numFmtId="0" fontId="2" fillId="0" borderId="3" xfId="1" applyFont="1" applyBorder="1"/>
    <xf numFmtId="0" fontId="2" fillId="0" borderId="0" xfId="1" applyFont="1"/>
    <xf numFmtId="0" fontId="2" fillId="0" borderId="5" xfId="1" applyFont="1" applyBorder="1"/>
    <xf numFmtId="0" fontId="1" fillId="0" borderId="0" xfId="1" applyAlignment="1">
      <alignment vertical="center"/>
    </xf>
    <xf numFmtId="0" fontId="1" fillId="0" borderId="0" xfId="1" applyAlignment="1">
      <alignment wrapText="1"/>
    </xf>
    <xf numFmtId="0" fontId="1" fillId="0" borderId="0" xfId="1" applyAlignment="1">
      <alignment vertical="top"/>
    </xf>
    <xf numFmtId="0" fontId="1" fillId="0" borderId="0" xfId="1" applyAlignment="1">
      <alignment horizontal="centerContinuous"/>
    </xf>
    <xf numFmtId="0" fontId="1" fillId="0" borderId="0" xfId="1" applyAlignment="1">
      <alignment vertical="top" wrapText="1"/>
    </xf>
    <xf numFmtId="0" fontId="1" fillId="0" borderId="4" xfId="1" applyBorder="1" applyAlignment="1">
      <alignment wrapText="1"/>
    </xf>
    <xf numFmtId="0" fontId="1" fillId="0" borderId="0" xfId="1" applyAlignment="1">
      <alignment horizontal="left" vertical="center" wrapText="1"/>
    </xf>
    <xf numFmtId="0" fontId="1" fillId="0" borderId="0" xfId="1" applyAlignment="1">
      <alignment vertical="center" wrapText="1"/>
    </xf>
    <xf numFmtId="0" fontId="5" fillId="0" borderId="0" xfId="2" applyFont="1"/>
    <xf numFmtId="0" fontId="6" fillId="0" borderId="0" xfId="2" applyFont="1"/>
    <xf numFmtId="0" fontId="3" fillId="0" borderId="0" xfId="2"/>
    <xf numFmtId="0" fontId="7" fillId="0" borderId="0" xfId="2" applyFont="1"/>
    <xf numFmtId="0" fontId="8" fillId="0" borderId="0" xfId="2" applyFont="1" applyAlignment="1">
      <alignment horizontal="center"/>
    </xf>
    <xf numFmtId="0" fontId="8" fillId="0" borderId="0" xfId="2" applyFont="1" applyAlignment="1">
      <alignment horizontal="centerContinuous"/>
    </xf>
    <xf numFmtId="0" fontId="8" fillId="0" borderId="0" xfId="2" applyFont="1" applyAlignment="1">
      <alignment horizontal="centerContinuous" wrapText="1"/>
    </xf>
    <xf numFmtId="0" fontId="3" fillId="0" borderId="0" xfId="2" applyAlignment="1">
      <alignment horizontal="centerContinuous"/>
    </xf>
    <xf numFmtId="0" fontId="8" fillId="0" borderId="0" xfId="2" applyFont="1" applyAlignment="1">
      <alignment horizontal="fill"/>
    </xf>
    <xf numFmtId="0" fontId="8" fillId="0" borderId="6" xfId="2" applyFont="1" applyBorder="1"/>
    <xf numFmtId="164" fontId="8" fillId="0" borderId="6" xfId="2" applyNumberFormat="1" applyFont="1" applyBorder="1" applyAlignment="1">
      <alignment horizontal="center"/>
    </xf>
    <xf numFmtId="0" fontId="8" fillId="0" borderId="6" xfId="2" applyFont="1" applyBorder="1" applyAlignment="1">
      <alignment horizontal="center"/>
    </xf>
    <xf numFmtId="0" fontId="8" fillId="0" borderId="0" xfId="2" applyFont="1"/>
    <xf numFmtId="7" fontId="9" fillId="0" borderId="0" xfId="2" applyNumberFormat="1" applyFont="1"/>
    <xf numFmtId="165" fontId="9" fillId="0" borderId="0" xfId="2" applyNumberFormat="1" applyFont="1"/>
    <xf numFmtId="165" fontId="6" fillId="0" borderId="0" xfId="2" applyNumberFormat="1" applyFont="1"/>
    <xf numFmtId="166" fontId="6" fillId="0" borderId="0" xfId="2" applyNumberFormat="1" applyFont="1"/>
    <xf numFmtId="167" fontId="9" fillId="0" borderId="0" xfId="2" applyNumberFormat="1" applyFont="1"/>
    <xf numFmtId="39" fontId="9" fillId="0" borderId="0" xfId="2" applyNumberFormat="1" applyFont="1"/>
    <xf numFmtId="39" fontId="10" fillId="0" borderId="0" xfId="2" applyNumberFormat="1" applyFont="1"/>
    <xf numFmtId="165" fontId="10" fillId="0" borderId="0" xfId="2" applyNumberFormat="1" applyFont="1"/>
    <xf numFmtId="165" fontId="6" fillId="0" borderId="0" xfId="2" applyNumberFormat="1" applyFont="1" applyAlignment="1">
      <alignment horizontal="right"/>
    </xf>
    <xf numFmtId="166" fontId="6" fillId="0" borderId="1" xfId="2" applyNumberFormat="1" applyFont="1" applyBorder="1"/>
    <xf numFmtId="166" fontId="6" fillId="0" borderId="7" xfId="2" applyNumberFormat="1" applyFont="1" applyBorder="1"/>
    <xf numFmtId="39" fontId="10" fillId="0" borderId="7" xfId="2" applyNumberFormat="1" applyFont="1" applyBorder="1"/>
    <xf numFmtId="166" fontId="6" fillId="2" borderId="8" xfId="2" applyNumberFormat="1" applyFont="1" applyFill="1" applyBorder="1"/>
    <xf numFmtId="166" fontId="6" fillId="2" borderId="0" xfId="2" applyNumberFormat="1" applyFont="1" applyFill="1"/>
    <xf numFmtId="39" fontId="10" fillId="2" borderId="0" xfId="2" applyNumberFormat="1" applyFont="1" applyFill="1"/>
    <xf numFmtId="166" fontId="6" fillId="0" borderId="3" xfId="2" applyNumberFormat="1" applyFont="1" applyBorder="1"/>
    <xf numFmtId="166" fontId="6" fillId="0" borderId="5" xfId="2" applyNumberFormat="1" applyFont="1" applyBorder="1"/>
    <xf numFmtId="39" fontId="10" fillId="0" borderId="5" xfId="2" applyNumberFormat="1" applyFont="1" applyBorder="1"/>
    <xf numFmtId="0" fontId="8" fillId="0" borderId="0" xfId="2" applyFont="1" applyAlignment="1">
      <alignment horizontal="center" wrapText="1"/>
    </xf>
    <xf numFmtId="7" fontId="11" fillId="0" borderId="0" xfId="2" applyNumberFormat="1" applyFont="1"/>
    <xf numFmtId="166" fontId="9" fillId="0" borderId="0" xfId="2" applyNumberFormat="1" applyFont="1"/>
    <xf numFmtId="0" fontId="6" fillId="0" borderId="0" xfId="1" applyFont="1"/>
    <xf numFmtId="0" fontId="3" fillId="0" borderId="0" xfId="3"/>
    <xf numFmtId="0" fontId="4" fillId="0" borderId="0" xfId="3" applyFont="1"/>
    <xf numFmtId="0" fontId="12" fillId="0" borderId="0" xfId="3" applyFont="1"/>
    <xf numFmtId="0" fontId="4" fillId="0" borderId="0" xfId="3" applyFont="1" applyAlignment="1">
      <alignment horizontal="centerContinuous"/>
    </xf>
    <xf numFmtId="0" fontId="4" fillId="0" borderId="0" xfId="3" applyFont="1" applyAlignment="1">
      <alignment vertical="center" wrapText="1"/>
    </xf>
    <xf numFmtId="0" fontId="3" fillId="0" borderId="0" xfId="3" applyAlignment="1">
      <alignment horizontal="centerContinuous"/>
    </xf>
    <xf numFmtId="14" fontId="3" fillId="0" borderId="0" xfId="3" applyNumberFormat="1" applyAlignment="1">
      <alignment horizontal="center" vertical="center" wrapText="1"/>
    </xf>
    <xf numFmtId="14" fontId="3" fillId="0" borderId="0" xfId="3" applyNumberFormat="1"/>
    <xf numFmtId="165" fontId="3" fillId="0" borderId="0" xfId="3" applyNumberFormat="1"/>
    <xf numFmtId="165" fontId="13" fillId="0" borderId="0" xfId="3" applyNumberFormat="1" applyFont="1"/>
    <xf numFmtId="169" fontId="3" fillId="0" borderId="0" xfId="2" applyNumberFormat="1"/>
    <xf numFmtId="169" fontId="6" fillId="0" borderId="2" xfId="2" applyNumberFormat="1" applyFont="1" applyBorder="1"/>
    <xf numFmtId="169" fontId="6" fillId="2" borderId="9" xfId="2" applyNumberFormat="1" applyFont="1" applyFill="1" applyBorder="1"/>
    <xf numFmtId="169" fontId="6" fillId="0" borderId="4" xfId="2" applyNumberFormat="1" applyFont="1" applyBorder="1"/>
    <xf numFmtId="7" fontId="3" fillId="0" borderId="0" xfId="2" applyNumberFormat="1"/>
    <xf numFmtId="0" fontId="6" fillId="0" borderId="0" xfId="4" applyFont="1"/>
    <xf numFmtId="0" fontId="8" fillId="0" borderId="0" xfId="4" applyFont="1"/>
    <xf numFmtId="0" fontId="7" fillId="0" borderId="0" xfId="4" applyFont="1"/>
    <xf numFmtId="0" fontId="14" fillId="3" borderId="0" xfId="4" applyFont="1" applyFill="1" applyAlignment="1">
      <alignment horizontal="centerContinuous"/>
    </xf>
    <xf numFmtId="0" fontId="15" fillId="3" borderId="0" xfId="4" applyFont="1" applyFill="1" applyAlignment="1">
      <alignment horizontal="centerContinuous"/>
    </xf>
    <xf numFmtId="0" fontId="8" fillId="0" borderId="11" xfId="4" applyFont="1" applyBorder="1" applyAlignment="1">
      <alignment horizontal="centerContinuous"/>
    </xf>
    <xf numFmtId="0" fontId="8" fillId="0" borderId="12" xfId="4" applyFont="1" applyBorder="1" applyAlignment="1">
      <alignment horizontal="centerContinuous"/>
    </xf>
    <xf numFmtId="0" fontId="8" fillId="0" borderId="10" xfId="4" applyFont="1" applyBorder="1" applyAlignment="1">
      <alignment horizontal="centerContinuous"/>
    </xf>
    <xf numFmtId="170" fontId="16" fillId="0" borderId="7" xfId="4" applyNumberFormat="1" applyFont="1" applyBorder="1" applyAlignment="1">
      <alignment horizontal="center"/>
    </xf>
    <xf numFmtId="170" fontId="8" fillId="0" borderId="7" xfId="4" applyNumberFormat="1" applyFont="1" applyBorder="1" applyAlignment="1">
      <alignment horizontal="center"/>
    </xf>
    <xf numFmtId="170" fontId="8" fillId="0" borderId="2" xfId="4" applyNumberFormat="1" applyFont="1" applyBorder="1" applyAlignment="1">
      <alignment horizontal="center"/>
    </xf>
    <xf numFmtId="171" fontId="8" fillId="0" borderId="7" xfId="4" applyNumberFormat="1" applyFont="1" applyBorder="1" applyAlignment="1">
      <alignment horizontal="center"/>
    </xf>
    <xf numFmtId="42" fontId="17" fillId="0" borderId="0" xfId="4" applyNumberFormat="1" applyFont="1"/>
    <xf numFmtId="42" fontId="17" fillId="0" borderId="9" xfId="4" applyNumberFormat="1" applyFont="1" applyBorder="1"/>
    <xf numFmtId="37" fontId="6" fillId="0" borderId="0" xfId="4" applyNumberFormat="1" applyFont="1"/>
    <xf numFmtId="37" fontId="17" fillId="0" borderId="0" xfId="4" applyNumberFormat="1" applyFont="1"/>
    <xf numFmtId="37" fontId="17" fillId="0" borderId="9" xfId="4" applyNumberFormat="1" applyFont="1" applyBorder="1"/>
    <xf numFmtId="37" fontId="18" fillId="0" borderId="0" xfId="4" applyNumberFormat="1" applyFont="1"/>
    <xf numFmtId="37" fontId="18" fillId="0" borderId="9" xfId="4" applyNumberFormat="1" applyFont="1" applyBorder="1"/>
    <xf numFmtId="37" fontId="8" fillId="0" borderId="0" xfId="4" applyNumberFormat="1" applyFont="1"/>
    <xf numFmtId="165" fontId="17" fillId="0" borderId="0" xfId="4" applyNumberFormat="1" applyFont="1"/>
    <xf numFmtId="165" fontId="17" fillId="0" borderId="9" xfId="4" applyNumberFormat="1" applyFont="1" applyBorder="1"/>
    <xf numFmtId="37" fontId="17" fillId="0" borderId="5" xfId="4" applyNumberFormat="1" applyFont="1" applyBorder="1"/>
    <xf numFmtId="37" fontId="17" fillId="0" borderId="4" xfId="4" applyNumberFormat="1" applyFont="1" applyBorder="1"/>
    <xf numFmtId="37" fontId="6" fillId="0" borderId="3" xfId="4" applyNumberFormat="1" applyFont="1" applyBorder="1"/>
    <xf numFmtId="0" fontId="8" fillId="0" borderId="7" xfId="4" applyFont="1" applyBorder="1"/>
    <xf numFmtId="37" fontId="18" fillId="0" borderId="2" xfId="4" applyNumberFormat="1" applyFont="1" applyBorder="1"/>
    <xf numFmtId="37" fontId="18" fillId="0" borderId="7" xfId="4" applyNumberFormat="1" applyFont="1" applyBorder="1"/>
    <xf numFmtId="9" fontId="9" fillId="0" borderId="0" xfId="4" applyNumberFormat="1" applyFont="1"/>
    <xf numFmtId="37" fontId="11" fillId="0" borderId="0" xfId="4" applyNumberFormat="1" applyFont="1"/>
    <xf numFmtId="37" fontId="11" fillId="0" borderId="9" xfId="4" applyNumberFormat="1" applyFont="1" applyBorder="1"/>
    <xf numFmtId="37" fontId="11" fillId="0" borderId="3" xfId="4" applyNumberFormat="1" applyFont="1" applyBorder="1"/>
    <xf numFmtId="0" fontId="6" fillId="0" borderId="7" xfId="4" applyFont="1" applyBorder="1"/>
    <xf numFmtId="37" fontId="11" fillId="0" borderId="7" xfId="4" applyNumberFormat="1" applyFont="1" applyBorder="1"/>
    <xf numFmtId="37" fontId="11" fillId="0" borderId="2" xfId="4" applyNumberFormat="1" applyFont="1" applyBorder="1"/>
    <xf numFmtId="165" fontId="11" fillId="0" borderId="0" xfId="4" applyNumberFormat="1" applyFont="1"/>
    <xf numFmtId="165" fontId="11" fillId="0" borderId="9" xfId="4" applyNumberFormat="1" applyFont="1" applyBorder="1"/>
    <xf numFmtId="37" fontId="6" fillId="0" borderId="9" xfId="4" applyNumberFormat="1" applyFont="1" applyBorder="1"/>
    <xf numFmtId="42" fontId="18" fillId="0" borderId="0" xfId="4" applyNumberFormat="1" applyFont="1"/>
    <xf numFmtId="42" fontId="18" fillId="0" borderId="9" xfId="4" applyNumberFormat="1" applyFont="1" applyBorder="1"/>
    <xf numFmtId="0" fontId="18" fillId="0" borderId="0" xfId="4" applyFont="1" applyAlignment="1">
      <alignment horizontal="center"/>
    </xf>
    <xf numFmtId="0" fontId="8" fillId="0" borderId="0" xfId="4" applyFont="1" applyAlignment="1">
      <alignment horizontal="center"/>
    </xf>
    <xf numFmtId="0" fontId="8" fillId="0" borderId="2" xfId="4" applyFont="1" applyBorder="1" applyAlignment="1">
      <alignment horizontal="center"/>
    </xf>
    <xf numFmtId="167" fontId="6" fillId="0" borderId="0" xfId="4" applyNumberFormat="1" applyFont="1"/>
    <xf numFmtId="167" fontId="6" fillId="0" borderId="9" xfId="4" applyNumberFormat="1" applyFont="1" applyBorder="1"/>
    <xf numFmtId="167" fontId="9" fillId="0" borderId="0" xfId="4" applyNumberFormat="1" applyFont="1"/>
    <xf numFmtId="168" fontId="6" fillId="0" borderId="0" xfId="4" applyNumberFormat="1" applyFont="1"/>
    <xf numFmtId="165" fontId="6" fillId="0" borderId="0" xfId="4" applyNumberFormat="1" applyFont="1"/>
    <xf numFmtId="165" fontId="9" fillId="0" borderId="0" xfId="4" applyNumberFormat="1" applyFont="1"/>
    <xf numFmtId="0" fontId="8" fillId="0" borderId="1" xfId="4" applyFont="1" applyBorder="1"/>
    <xf numFmtId="0" fontId="6" fillId="0" borderId="2" xfId="4" applyFont="1" applyBorder="1"/>
    <xf numFmtId="0" fontId="6" fillId="0" borderId="8" xfId="4" applyFont="1" applyBorder="1"/>
    <xf numFmtId="0" fontId="6" fillId="0" borderId="9" xfId="4" applyFont="1" applyBorder="1"/>
    <xf numFmtId="167" fontId="9" fillId="0" borderId="9" xfId="4" applyNumberFormat="1" applyFont="1" applyBorder="1"/>
    <xf numFmtId="166" fontId="9" fillId="0" borderId="9" xfId="4" applyNumberFormat="1" applyFont="1" applyBorder="1"/>
    <xf numFmtId="165" fontId="6" fillId="0" borderId="9" xfId="4" applyNumberFormat="1" applyFont="1" applyBorder="1"/>
    <xf numFmtId="172" fontId="6" fillId="0" borderId="0" xfId="4" applyNumberFormat="1" applyFont="1"/>
    <xf numFmtId="167" fontId="11" fillId="0" borderId="9" xfId="4" applyNumberFormat="1" applyFont="1" applyBorder="1"/>
    <xf numFmtId="8" fontId="6" fillId="0" borderId="9" xfId="4" applyNumberFormat="1" applyFont="1" applyBorder="1"/>
    <xf numFmtId="0" fontId="6" fillId="0" borderId="3" xfId="4" applyFont="1" applyBorder="1"/>
    <xf numFmtId="0" fontId="6" fillId="0" borderId="5" xfId="4" applyFont="1" applyBorder="1"/>
    <xf numFmtId="7" fontId="6" fillId="0" borderId="4" xfId="4" applyNumberFormat="1" applyFont="1" applyBorder="1"/>
    <xf numFmtId="172" fontId="6" fillId="0" borderId="4" xfId="4" applyNumberFormat="1" applyFont="1" applyBorder="1"/>
    <xf numFmtId="9" fontId="6" fillId="0" borderId="0" xfId="4" applyNumberFormat="1" applyFont="1"/>
    <xf numFmtId="5" fontId="6" fillId="0" borderId="0" xfId="4" applyNumberFormat="1" applyFont="1"/>
    <xf numFmtId="170" fontId="18" fillId="0" borderId="0" xfId="4" applyNumberFormat="1" applyFont="1" applyAlignment="1">
      <alignment horizontal="center"/>
    </xf>
    <xf numFmtId="42" fontId="6" fillId="0" borderId="0" xfId="4" applyNumberFormat="1" applyFont="1"/>
    <xf numFmtId="42" fontId="6" fillId="0" borderId="9" xfId="4" applyNumberFormat="1" applyFont="1" applyBorder="1"/>
    <xf numFmtId="0" fontId="1" fillId="0" borderId="0" xfId="1" applyFill="1"/>
    <xf numFmtId="37" fontId="19" fillId="0" borderId="9" xfId="1" applyNumberFormat="1" applyFont="1" applyBorder="1"/>
    <xf numFmtId="37" fontId="1" fillId="0" borderId="9" xfId="1" applyNumberFormat="1" applyBorder="1"/>
    <xf numFmtId="8" fontId="19" fillId="0" borderId="9" xfId="1" applyNumberFormat="1" applyFont="1" applyBorder="1"/>
    <xf numFmtId="0" fontId="1" fillId="0" borderId="9" xfId="1" applyBorder="1"/>
    <xf numFmtId="0" fontId="15" fillId="0" borderId="0" xfId="4" applyFont="1" applyAlignment="1">
      <alignment horizontal="centerContinuous"/>
    </xf>
    <xf numFmtId="0" fontId="14" fillId="0" borderId="0" xfId="4" applyFont="1" applyAlignment="1">
      <alignment horizontal="centerContinuous"/>
    </xf>
    <xf numFmtId="0" fontId="8" fillId="0" borderId="0" xfId="1" applyFont="1"/>
    <xf numFmtId="0" fontId="11" fillId="0" borderId="0" xfId="1" applyFont="1"/>
    <xf numFmtId="7" fontId="20" fillId="0" borderId="0" xfId="1" applyNumberFormat="1" applyFont="1"/>
    <xf numFmtId="37" fontId="1" fillId="0" borderId="0" xfId="1" applyNumberFormat="1"/>
    <xf numFmtId="0" fontId="11" fillId="0" borderId="0" xfId="1" quotePrefix="1" applyFont="1"/>
    <xf numFmtId="168" fontId="11" fillId="0" borderId="0" xfId="1" applyNumberFormat="1" applyFont="1"/>
    <xf numFmtId="167" fontId="20" fillId="0" borderId="0" xfId="4" applyNumberFormat="1" applyFont="1"/>
    <xf numFmtId="39" fontId="11" fillId="0" borderId="0" xfId="1" applyNumberFormat="1" applyFont="1"/>
    <xf numFmtId="0" fontId="8" fillId="0" borderId="0" xfId="1" applyFont="1" applyAlignment="1">
      <alignment horizontal="center"/>
    </xf>
    <xf numFmtId="0" fontId="8" fillId="0" borderId="0" xfId="1" applyFont="1" applyFill="1" applyAlignment="1">
      <alignment horizontal="center"/>
    </xf>
    <xf numFmtId="0" fontId="8" fillId="0" borderId="6" xfId="1" applyFont="1" applyBorder="1"/>
    <xf numFmtId="164" fontId="8" fillId="0" borderId="6" xfId="1" applyNumberFormat="1" applyFont="1" applyBorder="1" applyAlignment="1">
      <alignment horizontal="center"/>
    </xf>
    <xf numFmtId="0" fontId="8" fillId="0" borderId="6" xfId="1" applyFont="1" applyBorder="1" applyAlignment="1">
      <alignment horizontal="center"/>
    </xf>
    <xf numFmtId="37" fontId="9" fillId="0" borderId="0" xfId="1" applyNumberFormat="1" applyFont="1"/>
    <xf numFmtId="39" fontId="6" fillId="0" borderId="0" xfId="1" applyNumberFormat="1" applyFont="1"/>
    <xf numFmtId="39" fontId="9" fillId="0" borderId="0" xfId="1" applyNumberFormat="1" applyFont="1" applyFill="1"/>
    <xf numFmtId="168" fontId="9" fillId="0" borderId="0" xfId="1" applyNumberFormat="1" applyFont="1"/>
    <xf numFmtId="37" fontId="9" fillId="0" borderId="0" xfId="1" applyNumberFormat="1" applyFont="1" applyFill="1"/>
    <xf numFmtId="165" fontId="9" fillId="0" borderId="0" xfId="1" applyNumberFormat="1" applyFont="1"/>
    <xf numFmtId="165" fontId="9" fillId="0" borderId="0" xfId="1" applyNumberFormat="1" applyFont="1" applyFill="1"/>
    <xf numFmtId="2" fontId="6" fillId="0" borderId="0" xfId="1" applyNumberFormat="1" applyFont="1"/>
    <xf numFmtId="39" fontId="20" fillId="0" borderId="0" xfId="1" applyNumberFormat="1" applyFont="1"/>
    <xf numFmtId="165" fontId="6" fillId="0" borderId="0" xfId="1" applyNumberFormat="1" applyFont="1"/>
    <xf numFmtId="168" fontId="6" fillId="0" borderId="0" xfId="1" applyNumberFormat="1" applyFont="1"/>
    <xf numFmtId="39" fontId="8" fillId="0" borderId="0" xfId="1" applyNumberFormat="1" applyFont="1"/>
    <xf numFmtId="0" fontId="6" fillId="0" borderId="0" xfId="4" applyFont="1" applyAlignment="1">
      <alignment horizontal="centerContinuous"/>
    </xf>
    <xf numFmtId="166" fontId="11" fillId="0" borderId="0" xfId="4" applyNumberFormat="1" applyFont="1"/>
    <xf numFmtId="166" fontId="9" fillId="0" borderId="0" xfId="4" applyNumberFormat="1" applyFont="1"/>
    <xf numFmtId="0" fontId="6" fillId="0" borderId="0" xfId="4" applyFont="1" applyAlignment="1">
      <alignment horizontal="right"/>
    </xf>
    <xf numFmtId="0" fontId="21" fillId="4" borderId="0" xfId="1" applyFont="1" applyFill="1" applyAlignment="1">
      <alignment horizontal="left"/>
    </xf>
    <xf numFmtId="0" fontId="22" fillId="0" borderId="0" xfId="1" applyFont="1" applyFill="1" applyAlignment="1">
      <alignment vertical="top" wrapText="1"/>
    </xf>
    <xf numFmtId="0" fontId="23" fillId="4" borderId="12" xfId="1" applyFont="1" applyFill="1" applyBorder="1" applyAlignment="1">
      <alignment horizontal="left"/>
    </xf>
    <xf numFmtId="0" fontId="1" fillId="0" borderId="12" xfId="1" applyFill="1" applyBorder="1"/>
    <xf numFmtId="167" fontId="1" fillId="5" borderId="0" xfId="1" applyNumberFormat="1" applyFill="1"/>
    <xf numFmtId="172" fontId="1" fillId="0" borderId="0" xfId="1" applyNumberFormat="1" applyFill="1"/>
    <xf numFmtId="0" fontId="21" fillId="4" borderId="6" xfId="1" applyFont="1" applyFill="1" applyBorder="1" applyAlignment="1">
      <alignment horizontal="left"/>
    </xf>
    <xf numFmtId="7" fontId="1" fillId="0" borderId="6" xfId="1" applyNumberFormat="1" applyFill="1" applyBorder="1"/>
    <xf numFmtId="0" fontId="26" fillId="0" borderId="0" xfId="5" applyFont="1"/>
    <xf numFmtId="0" fontId="27" fillId="0" borderId="0" xfId="5" applyFont="1"/>
    <xf numFmtId="0" fontId="28" fillId="0" borderId="0" xfId="5" applyFont="1"/>
    <xf numFmtId="0" fontId="1" fillId="0" borderId="0" xfId="5"/>
    <xf numFmtId="8" fontId="28" fillId="0" borderId="13" xfId="5" applyNumberFormat="1" applyFont="1" applyFill="1" applyBorder="1"/>
    <xf numFmtId="44" fontId="29" fillId="0" borderId="13" xfId="6" applyFont="1" applyFill="1" applyBorder="1"/>
    <xf numFmtId="165" fontId="29" fillId="0" borderId="13" xfId="5" applyNumberFormat="1" applyFont="1" applyFill="1" applyBorder="1"/>
    <xf numFmtId="10" fontId="29" fillId="0" borderId="13" xfId="7" applyNumberFormat="1" applyFont="1" applyFill="1" applyBorder="1"/>
    <xf numFmtId="10" fontId="29" fillId="0" borderId="13" xfId="5" applyNumberFormat="1" applyFont="1" applyFill="1" applyBorder="1"/>
    <xf numFmtId="37" fontId="29" fillId="0" borderId="13" xfId="5" applyNumberFormat="1" applyFont="1" applyFill="1" applyBorder="1"/>
    <xf numFmtId="37" fontId="28" fillId="0" borderId="13" xfId="5" applyNumberFormat="1" applyFont="1" applyFill="1" applyBorder="1"/>
    <xf numFmtId="4" fontId="28" fillId="0" borderId="0" xfId="5" applyNumberFormat="1" applyFont="1" applyFill="1"/>
    <xf numFmtId="0" fontId="28" fillId="0" borderId="13" xfId="5" applyFont="1" applyBorder="1"/>
    <xf numFmtId="0" fontId="30" fillId="0" borderId="0" xfId="5" applyFont="1"/>
    <xf numFmtId="0" fontId="31" fillId="0" borderId="0" xfId="5" applyFont="1"/>
    <xf numFmtId="0" fontId="32" fillId="0" borderId="0" xfId="5" applyFont="1"/>
    <xf numFmtId="0" fontId="33" fillId="0" borderId="0" xfId="5" applyFont="1"/>
    <xf numFmtId="0" fontId="33" fillId="0" borderId="13" xfId="5" applyFont="1" applyBorder="1"/>
    <xf numFmtId="10" fontId="33" fillId="0" borderId="0" xfId="5" applyNumberFormat="1" applyFont="1"/>
    <xf numFmtId="3" fontId="28" fillId="0" borderId="13" xfId="5" applyNumberFormat="1" applyFont="1" applyBorder="1"/>
    <xf numFmtId="10" fontId="33" fillId="0" borderId="13" xfId="5" applyNumberFormat="1" applyFont="1" applyBorder="1"/>
    <xf numFmtId="173" fontId="33" fillId="0" borderId="13" xfId="8" applyNumberFormat="1" applyFont="1" applyBorder="1"/>
    <xf numFmtId="10" fontId="28" fillId="0" borderId="13" xfId="5" applyNumberFormat="1" applyFont="1" applyBorder="1"/>
    <xf numFmtId="44" fontId="28" fillId="0" borderId="14" xfId="6" applyFont="1" applyBorder="1"/>
    <xf numFmtId="44" fontId="28" fillId="0" borderId="0" xfId="6" applyFont="1"/>
    <xf numFmtId="8" fontId="28" fillId="0" borderId="14" xfId="5" applyNumberFormat="1" applyFont="1" applyBorder="1"/>
    <xf numFmtId="0" fontId="34" fillId="0" borderId="0" xfId="1" applyFont="1" applyAlignment="1">
      <alignment horizontal="left"/>
    </xf>
    <xf numFmtId="0" fontId="35" fillId="0" borderId="0" xfId="1" applyFont="1" applyAlignment="1">
      <alignment horizontal="left"/>
    </xf>
    <xf numFmtId="0" fontId="1" fillId="0" borderId="0" xfId="1" applyAlignment="1">
      <alignment horizontal="left" vertical="top" wrapText="1"/>
    </xf>
    <xf numFmtId="0" fontId="36" fillId="0" borderId="0" xfId="1" applyFont="1" applyAlignment="1">
      <alignment vertical="top" wrapText="1"/>
    </xf>
    <xf numFmtId="0" fontId="36" fillId="0" borderId="0" xfId="1" applyFont="1" applyAlignment="1">
      <alignment horizontal="left" vertical="top"/>
    </xf>
    <xf numFmtId="0" fontId="36" fillId="0" borderId="0" xfId="1" applyFont="1" applyAlignment="1">
      <alignment horizontal="right" vertical="top" wrapText="1"/>
    </xf>
    <xf numFmtId="0" fontId="1" fillId="0" borderId="0" xfId="1" applyAlignment="1">
      <alignment horizontal="left"/>
    </xf>
    <xf numFmtId="1" fontId="1" fillId="0" borderId="0" xfId="1" applyNumberFormat="1"/>
    <xf numFmtId="0" fontId="1" fillId="0" borderId="0" xfId="1" applyAlignment="1">
      <alignment horizontal="right"/>
    </xf>
    <xf numFmtId="174" fontId="1" fillId="0" borderId="0" xfId="1" applyNumberFormat="1"/>
    <xf numFmtId="2" fontId="1" fillId="0" borderId="0" xfId="1" applyNumberFormat="1"/>
  </cellXfs>
  <cellStyles count="9">
    <cellStyle name="Comma 2" xfId="8" xr:uid="{A2F94743-905B-40FA-8347-7FE36A086096}"/>
    <cellStyle name="Currency 2" xfId="6" xr:uid="{360B0097-6EF7-4581-AF8D-EDC278F5A160}"/>
    <cellStyle name="Normal" xfId="0" builtinId="0"/>
    <cellStyle name="Normal 2" xfId="1" xr:uid="{F1B47B34-1FCA-4B3D-9A26-90738AD86B13}"/>
    <cellStyle name="Normal 2 2" xfId="4" xr:uid="{79383C80-57E3-4574-BFD3-8E72E8EF7119}"/>
    <cellStyle name="Normal 3" xfId="5" xr:uid="{66BC0FA3-AEC3-4ADB-A513-43A42579E75D}"/>
    <cellStyle name="Normal 4" xfId="2" xr:uid="{DC81DEEA-AEAD-4D51-9589-C989AADEB64A}"/>
    <cellStyle name="Normal 5" xfId="3" xr:uid="{66C95398-5AF6-4484-95E3-0B708269A1CD}"/>
    <cellStyle name="Percent 2" xfId="7" xr:uid="{72F34D3C-1017-4EAF-8DEF-1EBFEE42B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B11128C6-9E9F-44EB-A56C-2A5BC4A21B34}"/>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28D9729B-5FC8-40AE-8A32-6A43ADB7B32A}"/>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74111265-56B5-441D-BBBC-2B301E5CB521}"/>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row r="8">
          <cell r="F8" t="str">
            <v>Low</v>
          </cell>
        </row>
      </sheetData>
      <sheetData sheetId="1"/>
      <sheetData sheetId="2"/>
      <sheetData sheetId="3"/>
      <sheetData sheetId="4"/>
      <sheetData sheetId="5">
        <row r="109">
          <cell r="B109">
            <v>393</v>
          </cell>
        </row>
      </sheetData>
      <sheetData sheetId="6">
        <row r="109">
          <cell r="B109">
            <v>393</v>
          </cell>
        </row>
      </sheetData>
      <sheetData sheetId="7"/>
      <sheetData sheetId="8"/>
      <sheetData sheetId="9">
        <row r="78">
          <cell r="B78">
            <v>144.66900000000001</v>
          </cell>
        </row>
      </sheetData>
      <sheetData sheetId="10">
        <row r="78">
          <cell r="B78">
            <v>144.66900000000001</v>
          </cell>
        </row>
      </sheetData>
      <sheetData sheetId="11"/>
      <sheetData sheetId="12"/>
      <sheetData sheetId="13">
        <row r="111">
          <cell r="B111">
            <v>2188.2999999999997</v>
          </cell>
        </row>
      </sheetData>
      <sheetData sheetId="14">
        <row r="111">
          <cell r="B111">
            <v>2188.2999999999997</v>
          </cell>
        </row>
      </sheetData>
      <sheetData sheetId="15"/>
      <sheetData sheetId="16"/>
      <sheetData sheetId="17">
        <row r="65">
          <cell r="B65">
            <v>3975.2000000000003</v>
          </cell>
        </row>
      </sheetData>
      <sheetData sheetId="18">
        <row r="65">
          <cell r="B65">
            <v>3975.2000000000003</v>
          </cell>
        </row>
      </sheetData>
      <sheetData sheetId="19"/>
      <sheetData sheetId="20"/>
      <sheetData sheetId="21">
        <row r="94">
          <cell r="B94">
            <v>1799</v>
          </cell>
        </row>
      </sheetData>
      <sheetData sheetId="22">
        <row r="94">
          <cell r="B94">
            <v>1799</v>
          </cell>
        </row>
      </sheetData>
      <sheetData sheetId="23"/>
      <sheetData sheetId="24"/>
      <sheetData sheetId="25">
        <row r="58">
          <cell r="B58">
            <v>1960.5</v>
          </cell>
        </row>
      </sheetData>
      <sheetData sheetId="26">
        <row r="11">
          <cell r="E11">
            <v>-644.27200000000005</v>
          </cell>
        </row>
        <row r="58">
          <cell r="B58">
            <v>1960.5</v>
          </cell>
        </row>
      </sheetData>
      <sheetData sheetId="27">
        <row r="11">
          <cell r="E11">
            <v>-644.27200000000005</v>
          </cell>
        </row>
        <row r="12">
          <cell r="E12">
            <v>0</v>
          </cell>
        </row>
        <row r="13">
          <cell r="E13">
            <v>0</v>
          </cell>
        </row>
      </sheetData>
      <sheetData sheetId="28"/>
      <sheetData sheetId="29"/>
      <sheetData sheetId="30">
        <row r="30">
          <cell r="B30">
            <v>78</v>
          </cell>
        </row>
      </sheetData>
      <sheetData sheetId="31">
        <row r="2">
          <cell r="H2">
            <v>1.2817751894259708</v>
          </cell>
        </row>
      </sheetData>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7DE0-2E04-483A-9B7F-D2CE2BCD6144}">
  <sheetPr codeName="Sheet2"/>
  <dimension ref="B2:D15"/>
  <sheetViews>
    <sheetView workbookViewId="0">
      <selection activeCell="C6" sqref="C6"/>
    </sheetView>
  </sheetViews>
  <sheetFormatPr defaultRowHeight="12.5"/>
  <cols>
    <col min="1" max="1" width="3.1796875" style="3" customWidth="1"/>
    <col min="2" max="2" width="42.7265625" style="3" bestFit="1" customWidth="1"/>
    <col min="3" max="3" width="39.36328125" style="3" customWidth="1"/>
    <col min="4" max="4" width="21.453125" style="3" customWidth="1"/>
    <col min="5" max="16384" width="8.7265625" style="3"/>
  </cols>
  <sheetData>
    <row r="2" spans="2:4" ht="13">
      <c r="B2" s="1" t="s">
        <v>0</v>
      </c>
      <c r="C2" s="2" t="s">
        <v>1</v>
      </c>
    </row>
    <row r="3" spans="2:4" ht="13">
      <c r="B3" s="4" t="s">
        <v>2</v>
      </c>
      <c r="C3" s="12" t="s">
        <v>24</v>
      </c>
    </row>
    <row r="4" spans="2:4" ht="13">
      <c r="B4" s="5"/>
    </row>
    <row r="5" spans="2:4" ht="13">
      <c r="B5" s="6" t="s">
        <v>3</v>
      </c>
      <c r="C5" s="6" t="s">
        <v>4</v>
      </c>
    </row>
    <row r="6" spans="2:4" ht="236.5" customHeight="1">
      <c r="B6" s="7" t="s">
        <v>5</v>
      </c>
      <c r="C6" s="8" t="s">
        <v>21</v>
      </c>
    </row>
    <row r="7" spans="2:4">
      <c r="B7" s="3" t="s">
        <v>22</v>
      </c>
      <c r="C7" s="3" t="s">
        <v>23</v>
      </c>
    </row>
    <row r="8" spans="2:4">
      <c r="B8" s="3" t="s">
        <v>68</v>
      </c>
      <c r="C8" s="3" t="s">
        <v>67</v>
      </c>
    </row>
    <row r="9" spans="2:4" ht="50">
      <c r="B9" s="3" t="s">
        <v>6</v>
      </c>
      <c r="C9" s="8" t="s">
        <v>25</v>
      </c>
    </row>
    <row r="10" spans="2:4" ht="62.5">
      <c r="B10" s="3" t="s">
        <v>7</v>
      </c>
      <c r="C10" s="8" t="s">
        <v>20</v>
      </c>
    </row>
    <row r="11" spans="2:4" ht="181" customHeight="1">
      <c r="B11" s="3" t="s">
        <v>8</v>
      </c>
      <c r="C11" s="14" t="s">
        <v>26</v>
      </c>
      <c r="D11" s="13" t="s">
        <v>33</v>
      </c>
    </row>
    <row r="12" spans="2:4" ht="112.5">
      <c r="B12" s="3" t="s">
        <v>9</v>
      </c>
      <c r="C12" s="8" t="s">
        <v>32</v>
      </c>
    </row>
    <row r="13" spans="2:4" ht="25">
      <c r="B13" s="3" t="s">
        <v>27</v>
      </c>
      <c r="C13" s="8" t="s">
        <v>28</v>
      </c>
    </row>
    <row r="14" spans="2:4" ht="155.5" customHeight="1">
      <c r="B14" s="3" t="s">
        <v>29</v>
      </c>
      <c r="C14" s="8" t="s">
        <v>36</v>
      </c>
    </row>
    <row r="15" spans="2:4" ht="87.5">
      <c r="B15" s="3" t="s">
        <v>30</v>
      </c>
      <c r="C15" s="8" t="s">
        <v>31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A50D-9916-47AC-97A7-289A71A9D906}">
  <dimension ref="B2:I18"/>
  <sheetViews>
    <sheetView workbookViewId="0">
      <selection activeCell="H44" sqref="H44"/>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37</v>
      </c>
    </row>
    <row r="3" spans="2:9">
      <c r="B3" s="51"/>
    </row>
    <row r="4" spans="2:9">
      <c r="C4" s="53" t="s">
        <v>125</v>
      </c>
      <c r="D4" s="54"/>
      <c r="E4" s="53" t="s">
        <v>126</v>
      </c>
      <c r="F4" s="53"/>
      <c r="G4" s="51"/>
      <c r="H4" s="53" t="s">
        <v>127</v>
      </c>
      <c r="I4" s="55"/>
    </row>
    <row r="5" spans="2:9">
      <c r="C5" s="56">
        <v>43829</v>
      </c>
      <c r="D5" s="56"/>
      <c r="E5" s="56">
        <v>44104</v>
      </c>
      <c r="F5" s="56">
        <v>43738</v>
      </c>
      <c r="G5" s="56"/>
      <c r="H5" s="56">
        <v>44104</v>
      </c>
      <c r="I5" s="57"/>
    </row>
    <row r="6" spans="2:9">
      <c r="B6" s="50" t="s">
        <v>128</v>
      </c>
      <c r="C6" s="59"/>
      <c r="D6" s="59"/>
      <c r="E6" s="59"/>
      <c r="F6" s="59"/>
      <c r="G6" s="58"/>
      <c r="H6" s="58"/>
    </row>
    <row r="7" spans="2:9">
      <c r="B7" s="50" t="s">
        <v>129</v>
      </c>
      <c r="C7" s="59"/>
      <c r="D7" s="59"/>
      <c r="E7" s="59"/>
      <c r="F7" s="59"/>
      <c r="G7" s="58"/>
      <c r="H7" s="58"/>
    </row>
    <row r="8" spans="2:9">
      <c r="B8" s="50" t="s">
        <v>130</v>
      </c>
      <c r="C8" s="59"/>
      <c r="D8" s="59"/>
      <c r="E8" s="59"/>
      <c r="F8" s="59"/>
      <c r="G8" s="58"/>
      <c r="H8" s="58"/>
    </row>
    <row r="9" spans="2:9">
      <c r="C9" s="59"/>
      <c r="D9" s="59"/>
      <c r="E9" s="59"/>
      <c r="F9" s="59"/>
    </row>
    <row r="10" spans="2:9">
      <c r="H10" s="53" t="s">
        <v>131</v>
      </c>
      <c r="I10" s="55"/>
    </row>
    <row r="11" spans="2:9">
      <c r="H11" s="56">
        <v>44104</v>
      </c>
      <c r="I11" s="57"/>
    </row>
    <row r="12" spans="2:9">
      <c r="B12" s="50" t="s">
        <v>132</v>
      </c>
      <c r="H12" s="59"/>
      <c r="I12" s="58"/>
    </row>
    <row r="13" spans="2:9">
      <c r="B13" s="50" t="s">
        <v>133</v>
      </c>
      <c r="H13" s="59"/>
    </row>
    <row r="14" spans="2:9">
      <c r="B14" s="50" t="s">
        <v>134</v>
      </c>
      <c r="H14" s="59"/>
    </row>
    <row r="15" spans="2:9">
      <c r="H15" s="59"/>
    </row>
    <row r="16" spans="2:9">
      <c r="B16" s="50" t="s">
        <v>135</v>
      </c>
      <c r="H16" s="59"/>
    </row>
    <row r="17" spans="2:8">
      <c r="B17" s="50" t="s">
        <v>136</v>
      </c>
      <c r="H17" s="59"/>
    </row>
    <row r="18" spans="2:8">
      <c r="C18" s="5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02CD-BE27-4EE0-A1AA-84B2CD808628}">
  <dimension ref="B2:I18"/>
  <sheetViews>
    <sheetView tabSelected="1" workbookViewId="0">
      <selection activeCell="H12" sqref="H12:H17"/>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44</v>
      </c>
    </row>
    <row r="3" spans="2:9">
      <c r="B3" s="51"/>
    </row>
    <row r="4" spans="2:9">
      <c r="C4" s="53" t="s">
        <v>125</v>
      </c>
      <c r="D4" s="54"/>
      <c r="E4" s="53" t="s">
        <v>126</v>
      </c>
      <c r="F4" s="53"/>
      <c r="G4" s="51"/>
      <c r="H4" s="53" t="s">
        <v>127</v>
      </c>
      <c r="I4" s="55"/>
    </row>
    <row r="5" spans="2:9">
      <c r="C5" s="56">
        <v>43829</v>
      </c>
      <c r="D5" s="56"/>
      <c r="E5" s="56">
        <v>44104</v>
      </c>
      <c r="F5" s="56">
        <v>43738</v>
      </c>
      <c r="G5" s="56"/>
      <c r="H5" s="56">
        <v>44104</v>
      </c>
      <c r="I5" s="57"/>
    </row>
    <row r="6" spans="2:9">
      <c r="B6" s="50" t="s">
        <v>128</v>
      </c>
      <c r="C6" s="59"/>
      <c r="D6" s="59"/>
      <c r="E6" s="59"/>
      <c r="F6" s="59"/>
      <c r="G6" s="58"/>
      <c r="H6" s="58"/>
    </row>
    <row r="7" spans="2:9">
      <c r="B7" s="50" t="s">
        <v>129</v>
      </c>
      <c r="C7" s="59"/>
      <c r="D7" s="59"/>
      <c r="E7" s="59"/>
      <c r="F7" s="59"/>
      <c r="G7" s="58"/>
      <c r="H7" s="58"/>
    </row>
    <row r="8" spans="2:9">
      <c r="B8" s="50" t="s">
        <v>130</v>
      </c>
      <c r="C8" s="59"/>
      <c r="D8" s="59"/>
      <c r="E8" s="59"/>
      <c r="F8" s="59"/>
      <c r="G8" s="58"/>
      <c r="H8" s="58"/>
    </row>
    <row r="10" spans="2:9">
      <c r="H10" s="53" t="s">
        <v>131</v>
      </c>
      <c r="I10" s="55"/>
    </row>
    <row r="11" spans="2:9">
      <c r="H11" s="56">
        <v>44104</v>
      </c>
      <c r="I11" s="57"/>
    </row>
    <row r="12" spans="2:9">
      <c r="B12" s="50" t="s">
        <v>132</v>
      </c>
      <c r="H12" s="59"/>
      <c r="I12" s="58"/>
    </row>
    <row r="13" spans="2:9">
      <c r="B13" s="50" t="s">
        <v>133</v>
      </c>
      <c r="H13" s="59"/>
    </row>
    <row r="14" spans="2:9">
      <c r="B14" s="50" t="s">
        <v>134</v>
      </c>
      <c r="H14" s="59"/>
    </row>
    <row r="15" spans="2:9">
      <c r="H15" s="59"/>
    </row>
    <row r="16" spans="2:9">
      <c r="B16" s="50" t="s">
        <v>135</v>
      </c>
      <c r="H16" s="59"/>
    </row>
    <row r="17" spans="2:8">
      <c r="B17" s="50" t="s">
        <v>136</v>
      </c>
      <c r="H17" s="59"/>
    </row>
    <row r="18" spans="2:8">
      <c r="C18" s="58"/>
      <c r="H18" s="5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9019C-2C90-4199-980A-5A2954F7283F}">
  <dimension ref="B2:I18"/>
  <sheetViews>
    <sheetView workbookViewId="0">
      <selection activeCell="H44" sqref="H44"/>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45</v>
      </c>
    </row>
    <row r="3" spans="2:9">
      <c r="B3" s="51"/>
    </row>
    <row r="4" spans="2:9">
      <c r="C4" s="53" t="s">
        <v>125</v>
      </c>
      <c r="D4" s="54"/>
      <c r="E4" s="53" t="s">
        <v>126</v>
      </c>
      <c r="F4" s="53"/>
      <c r="G4" s="51"/>
      <c r="H4" s="53" t="s">
        <v>127</v>
      </c>
      <c r="I4" s="55"/>
    </row>
    <row r="5" spans="2:9">
      <c r="C5" s="56">
        <v>43829</v>
      </c>
      <c r="D5" s="56"/>
      <c r="E5" s="56">
        <v>44104</v>
      </c>
      <c r="F5" s="56">
        <v>43738</v>
      </c>
      <c r="G5" s="56"/>
      <c r="H5" s="56">
        <v>44104</v>
      </c>
      <c r="I5" s="57"/>
    </row>
    <row r="6" spans="2:9">
      <c r="B6" s="50" t="s">
        <v>128</v>
      </c>
      <c r="C6" s="59">
        <v>9127.0570000000007</v>
      </c>
      <c r="D6" s="59"/>
      <c r="E6" s="59">
        <v>10474.305</v>
      </c>
      <c r="F6" s="59">
        <v>6593.567</v>
      </c>
      <c r="G6" s="58"/>
      <c r="H6" s="58"/>
    </row>
    <row r="7" spans="2:9">
      <c r="B7" s="50" t="s">
        <v>129</v>
      </c>
      <c r="C7" s="59">
        <v>-929.94100000000003</v>
      </c>
      <c r="D7" s="59"/>
      <c r="E7" s="59">
        <v>259.78399999999999</v>
      </c>
      <c r="F7" s="59">
        <v>-624.52</v>
      </c>
      <c r="G7" s="58"/>
      <c r="H7" s="58"/>
    </row>
    <row r="8" spans="2:9">
      <c r="B8" s="50" t="s">
        <v>130</v>
      </c>
      <c r="C8" s="59">
        <f>C7+192.419</f>
        <v>-737.52200000000005</v>
      </c>
      <c r="D8" s="59"/>
      <c r="E8" s="59">
        <f>E7+208.532</f>
        <v>468.31600000000003</v>
      </c>
      <c r="F8" s="59">
        <f>F7+134.172</f>
        <v>-490.34799999999996</v>
      </c>
      <c r="G8" s="58"/>
      <c r="H8" s="58"/>
    </row>
    <row r="10" spans="2:9">
      <c r="H10" s="53" t="s">
        <v>131</v>
      </c>
      <c r="I10" s="55"/>
    </row>
    <row r="11" spans="2:9">
      <c r="H11" s="56">
        <v>44104</v>
      </c>
      <c r="I11" s="57"/>
    </row>
    <row r="12" spans="2:9">
      <c r="B12" s="50" t="s">
        <v>132</v>
      </c>
      <c r="H12" s="59">
        <f>2862.135+867.711-2442.939-113.985</f>
        <v>1172.9220000000007</v>
      </c>
      <c r="I12" s="58"/>
    </row>
    <row r="13" spans="2:9">
      <c r="B13" s="50" t="s">
        <v>133</v>
      </c>
      <c r="H13" s="59">
        <v>0</v>
      </c>
    </row>
    <row r="14" spans="2:9">
      <c r="B14" s="50" t="s">
        <v>134</v>
      </c>
      <c r="H14" s="59">
        <v>0</v>
      </c>
    </row>
    <row r="15" spans="2:9">
      <c r="H15" s="59"/>
    </row>
    <row r="16" spans="2:9">
      <c r="B16" s="50" t="s">
        <v>135</v>
      </c>
      <c r="H16" s="59">
        <f>2442.939+113.985</f>
        <v>2556.924</v>
      </c>
    </row>
    <row r="17" spans="2:8">
      <c r="B17" s="50" t="s">
        <v>136</v>
      </c>
      <c r="H17" s="59">
        <v>4558.4399999999996</v>
      </c>
    </row>
    <row r="18" spans="2:8">
      <c r="C18" s="58"/>
      <c r="H18" s="5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8054-BE21-455F-A02D-BA83CE7B3F79}">
  <dimension ref="B2:I18"/>
  <sheetViews>
    <sheetView workbookViewId="0">
      <selection activeCell="H44" sqref="H44"/>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41</v>
      </c>
    </row>
    <row r="3" spans="2:9">
      <c r="B3" s="51"/>
    </row>
    <row r="4" spans="2:9">
      <c r="C4" s="53" t="s">
        <v>125</v>
      </c>
      <c r="D4" s="54"/>
      <c r="E4" s="53" t="s">
        <v>137</v>
      </c>
      <c r="F4" s="53"/>
      <c r="G4" s="51"/>
      <c r="H4" s="53" t="s">
        <v>127</v>
      </c>
      <c r="I4" s="55"/>
    </row>
    <row r="5" spans="2:9">
      <c r="C5" s="56">
        <v>43830</v>
      </c>
      <c r="D5" s="56"/>
      <c r="E5" s="56">
        <v>44012</v>
      </c>
      <c r="F5" s="56">
        <v>44012</v>
      </c>
      <c r="G5" s="56"/>
      <c r="H5" s="56">
        <v>44012</v>
      </c>
      <c r="I5" s="57"/>
    </row>
    <row r="6" spans="2:9">
      <c r="B6" s="50" t="s">
        <v>128</v>
      </c>
      <c r="C6" s="59">
        <v>600.99300000000005</v>
      </c>
      <c r="D6" s="59"/>
      <c r="E6" s="59">
        <v>288.85899999999998</v>
      </c>
      <c r="F6" s="59">
        <v>299.24</v>
      </c>
      <c r="G6" s="58"/>
      <c r="H6" s="58"/>
    </row>
    <row r="7" spans="2:9">
      <c r="B7" s="50" t="s">
        <v>129</v>
      </c>
      <c r="C7" s="59">
        <v>48.097999999999999</v>
      </c>
      <c r="D7" s="59"/>
      <c r="E7" s="59">
        <v>22.658000000000001</v>
      </c>
      <c r="F7" s="59">
        <v>24.629000000000001</v>
      </c>
      <c r="G7" s="58"/>
      <c r="H7" s="58"/>
    </row>
    <row r="8" spans="2:9">
      <c r="B8" s="50" t="s">
        <v>130</v>
      </c>
      <c r="C8" s="59">
        <f>C7+3.952</f>
        <v>52.05</v>
      </c>
      <c r="D8" s="59"/>
      <c r="E8" s="59">
        <f>E7+2.396</f>
        <v>25.054000000000002</v>
      </c>
      <c r="F8" s="59">
        <f>F7+1.584</f>
        <v>26.213000000000001</v>
      </c>
      <c r="G8" s="58"/>
      <c r="H8" s="58"/>
    </row>
    <row r="10" spans="2:9">
      <c r="H10" s="53" t="s">
        <v>131</v>
      </c>
      <c r="I10" s="55"/>
    </row>
    <row r="11" spans="2:9">
      <c r="H11" s="56">
        <v>44012</v>
      </c>
      <c r="I11" s="57"/>
    </row>
    <row r="12" spans="2:9">
      <c r="B12" s="50" t="s">
        <v>132</v>
      </c>
      <c r="H12" s="59">
        <f>-150.772</f>
        <v>-150.77199999999999</v>
      </c>
      <c r="I12" s="58"/>
    </row>
    <row r="13" spans="2:9">
      <c r="B13" s="50" t="s">
        <v>133</v>
      </c>
      <c r="H13" s="59">
        <v>0</v>
      </c>
    </row>
    <row r="14" spans="2:9">
      <c r="B14" s="50" t="s">
        <v>134</v>
      </c>
      <c r="H14" s="59">
        <v>0</v>
      </c>
    </row>
    <row r="15" spans="2:9">
      <c r="H15" s="59"/>
    </row>
    <row r="16" spans="2:9">
      <c r="B16" s="50" t="s">
        <v>135</v>
      </c>
      <c r="H16" s="59">
        <v>150.77199999999999</v>
      </c>
    </row>
    <row r="17" spans="2:8">
      <c r="B17" s="50" t="s">
        <v>136</v>
      </c>
      <c r="H17" s="59">
        <v>272.23399999999998</v>
      </c>
    </row>
    <row r="18" spans="2:8">
      <c r="C18" s="58"/>
      <c r="H18" s="5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8FEE9-AF6B-4631-BA9D-6E171C50EE88}">
  <dimension ref="B2:I18"/>
  <sheetViews>
    <sheetView workbookViewId="0">
      <selection activeCell="H44" sqref="H44"/>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46</v>
      </c>
    </row>
    <row r="3" spans="2:9">
      <c r="B3" s="51"/>
    </row>
    <row r="4" spans="2:9">
      <c r="C4" s="53" t="s">
        <v>125</v>
      </c>
      <c r="D4" s="54"/>
      <c r="E4" s="53" t="s">
        <v>126</v>
      </c>
      <c r="F4" s="53"/>
      <c r="G4" s="51"/>
      <c r="H4" s="53" t="s">
        <v>127</v>
      </c>
      <c r="I4" s="55"/>
    </row>
    <row r="5" spans="2:9">
      <c r="C5" s="56">
        <v>43830</v>
      </c>
      <c r="D5" s="56"/>
      <c r="E5" s="56">
        <v>44104</v>
      </c>
      <c r="F5" s="56">
        <v>43738</v>
      </c>
      <c r="G5" s="56"/>
      <c r="H5" s="56">
        <v>44104</v>
      </c>
      <c r="I5" s="57"/>
    </row>
    <row r="6" spans="2:9">
      <c r="B6" s="50" t="s">
        <v>128</v>
      </c>
      <c r="C6" s="59">
        <v>1459.4179999999999</v>
      </c>
      <c r="D6" s="59"/>
      <c r="E6" s="59">
        <v>1865.768</v>
      </c>
      <c r="F6" s="59">
        <v>1088.537</v>
      </c>
      <c r="G6" s="58"/>
      <c r="H6" s="58"/>
    </row>
    <row r="7" spans="2:9">
      <c r="B7" s="50" t="s">
        <v>129</v>
      </c>
      <c r="C7" s="59">
        <v>-123.489</v>
      </c>
      <c r="D7" s="59"/>
      <c r="E7" s="59">
        <v>42.448</v>
      </c>
      <c r="F7" s="59">
        <v>-91.926000000000002</v>
      </c>
      <c r="G7" s="58"/>
      <c r="H7" s="58"/>
    </row>
    <row r="8" spans="2:9">
      <c r="B8" s="50" t="s">
        <v>130</v>
      </c>
      <c r="C8" s="59">
        <f>C7+26.262</f>
        <v>-97.227000000000004</v>
      </c>
      <c r="D8" s="59"/>
      <c r="E8" s="59">
        <f>E7+22.709</f>
        <v>65.156999999999996</v>
      </c>
      <c r="F8" s="59">
        <f>F7+23.033</f>
        <v>-68.893000000000001</v>
      </c>
      <c r="G8" s="58"/>
      <c r="H8" s="58"/>
    </row>
    <row r="10" spans="2:9">
      <c r="H10" s="53" t="s">
        <v>131</v>
      </c>
      <c r="I10" s="55"/>
    </row>
    <row r="11" spans="2:9">
      <c r="H11" s="56">
        <v>44104</v>
      </c>
      <c r="I11" s="57"/>
    </row>
    <row r="12" spans="2:9">
      <c r="B12" s="50" t="s">
        <v>132</v>
      </c>
      <c r="H12" s="59">
        <f>42.148+21.64+5.959-529.71-2.57-1.355</f>
        <v>-463.88800000000003</v>
      </c>
      <c r="I12" s="58"/>
    </row>
    <row r="13" spans="2:9">
      <c r="B13" s="50" t="s">
        <v>133</v>
      </c>
      <c r="H13" s="59">
        <v>0</v>
      </c>
    </row>
    <row r="14" spans="2:9">
      <c r="B14" s="50" t="s">
        <v>134</v>
      </c>
      <c r="H14" s="59">
        <v>61.771999999999998</v>
      </c>
    </row>
    <row r="15" spans="2:9">
      <c r="H15" s="59"/>
    </row>
    <row r="16" spans="2:9">
      <c r="B16" s="50" t="s">
        <v>135</v>
      </c>
      <c r="H16" s="59">
        <f>529.71+2.57+1.355</f>
        <v>533.6350000000001</v>
      </c>
    </row>
    <row r="17" spans="2:8">
      <c r="B17" s="50" t="s">
        <v>136</v>
      </c>
      <c r="H17" s="59">
        <v>842.98199999999997</v>
      </c>
    </row>
    <row r="18" spans="2:8">
      <c r="C18" s="58"/>
      <c r="H18" s="5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81EC9-4460-42EC-ADDA-B7333A16C3ED}">
  <dimension ref="B2:I18"/>
  <sheetViews>
    <sheetView workbookViewId="0">
      <selection activeCell="H44" sqref="H44"/>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48</v>
      </c>
    </row>
    <row r="3" spans="2:9">
      <c r="B3" s="51"/>
    </row>
    <row r="4" spans="2:9">
      <c r="C4" s="53" t="s">
        <v>125</v>
      </c>
      <c r="D4" s="54"/>
      <c r="E4" s="53" t="s">
        <v>137</v>
      </c>
      <c r="F4" s="53"/>
      <c r="G4" s="51"/>
      <c r="H4" s="53" t="s">
        <v>127</v>
      </c>
      <c r="I4" s="55"/>
    </row>
    <row r="5" spans="2:9">
      <c r="C5" s="56">
        <v>43863</v>
      </c>
      <c r="D5" s="56"/>
      <c r="E5" s="56">
        <v>44045</v>
      </c>
      <c r="F5" s="56">
        <v>43681</v>
      </c>
      <c r="G5" s="56"/>
      <c r="H5" s="56">
        <v>44045</v>
      </c>
      <c r="I5" s="57"/>
    </row>
    <row r="6" spans="2:9">
      <c r="B6" s="50" t="s">
        <v>128</v>
      </c>
      <c r="C6" s="59">
        <v>4864.7430000000004</v>
      </c>
      <c r="D6" s="59"/>
      <c r="E6" s="59">
        <v>3321.252</v>
      </c>
      <c r="F6" s="59">
        <v>226.417</v>
      </c>
      <c r="G6" s="58"/>
      <c r="H6" s="58"/>
    </row>
    <row r="7" spans="2:9">
      <c r="B7" s="50" t="s">
        <v>129</v>
      </c>
      <c r="C7" s="59">
        <v>-252.726</v>
      </c>
      <c r="D7" s="59"/>
      <c r="E7" s="59">
        <v>-79.757000000000005</v>
      </c>
      <c r="F7" s="59">
        <v>-113.35</v>
      </c>
      <c r="G7" s="58"/>
      <c r="H7" s="58"/>
    </row>
    <row r="8" spans="2:9">
      <c r="B8" s="50" t="s">
        <v>130</v>
      </c>
      <c r="C8" s="59">
        <f>C7+30.645</f>
        <v>-222.08099999999999</v>
      </c>
      <c r="D8" s="59"/>
      <c r="E8" s="59">
        <f>E7+15.336</f>
        <v>-64.421000000000006</v>
      </c>
      <c r="F8" s="59">
        <f>F7+14.579</f>
        <v>-98.770999999999987</v>
      </c>
      <c r="G8" s="58"/>
      <c r="H8" s="58"/>
    </row>
    <row r="10" spans="2:9">
      <c r="H10" s="53" t="s">
        <v>131</v>
      </c>
      <c r="I10" s="55"/>
    </row>
    <row r="11" spans="2:9">
      <c r="H11" s="56">
        <v>44045</v>
      </c>
      <c r="I11" s="57"/>
    </row>
    <row r="12" spans="2:9">
      <c r="B12" s="50" t="s">
        <v>132</v>
      </c>
      <c r="H12" s="59">
        <f>261.836-153.842</f>
        <v>107.994</v>
      </c>
      <c r="I12" s="58"/>
    </row>
    <row r="13" spans="2:9">
      <c r="B13" s="50" t="s">
        <v>133</v>
      </c>
      <c r="H13" s="59">
        <v>0</v>
      </c>
    </row>
    <row r="14" spans="2:9">
      <c r="B14" s="50" t="s">
        <v>134</v>
      </c>
      <c r="H14" s="59">
        <v>0</v>
      </c>
    </row>
    <row r="15" spans="2:9">
      <c r="H15" s="59"/>
    </row>
    <row r="16" spans="2:9">
      <c r="B16" s="50" t="s">
        <v>135</v>
      </c>
      <c r="H16" s="59">
        <v>153.84200000000001</v>
      </c>
    </row>
    <row r="17" spans="2:8">
      <c r="B17" s="50" t="s">
        <v>136</v>
      </c>
      <c r="H17" s="59">
        <v>1144.8409999999999</v>
      </c>
    </row>
    <row r="18" spans="2:8">
      <c r="C18" s="58"/>
      <c r="H18"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375EB-C96F-4F3F-A40A-2D5EAD563E4B}">
  <sheetPr codeName="Sheet5"/>
  <dimension ref="B1:I16"/>
  <sheetViews>
    <sheetView zoomScaleNormal="100" workbookViewId="0">
      <pane xSplit="2" ySplit="2" topLeftCell="C3" activePane="bottomRight" state="frozen"/>
      <selection activeCell="E12" sqref="E12"/>
      <selection pane="topRight" activeCell="E12" sqref="E12"/>
      <selection pane="bottomLeft" activeCell="E12" sqref="E12"/>
      <selection pane="bottomRight" activeCell="F8" sqref="F8"/>
    </sheetView>
  </sheetViews>
  <sheetFormatPr defaultRowHeight="12.5"/>
  <cols>
    <col min="1" max="1" width="3.90625" style="3" customWidth="1"/>
    <col min="2" max="2" width="23.54296875" style="3" bestFit="1" customWidth="1"/>
    <col min="3" max="3" width="41.54296875" style="3" bestFit="1" customWidth="1"/>
    <col min="4" max="4" width="52.90625" style="9" customWidth="1"/>
    <col min="5" max="5" width="9.6328125" style="3" bestFit="1" customWidth="1"/>
    <col min="6" max="6" width="11.26953125" style="3" bestFit="1" customWidth="1"/>
    <col min="7" max="7" width="15.08984375" style="3" bestFit="1" customWidth="1"/>
    <col min="8" max="8" width="10.81640625" style="3" bestFit="1" customWidth="1"/>
    <col min="9" max="16384" width="8.7265625" style="3"/>
  </cols>
  <sheetData>
    <row r="1" spans="2:9">
      <c r="G1" s="10" t="s">
        <v>10</v>
      </c>
      <c r="H1" s="10"/>
      <c r="I1" s="3" t="s">
        <v>11</v>
      </c>
    </row>
    <row r="2" spans="2:9">
      <c r="B2" s="3" t="s">
        <v>12</v>
      </c>
      <c r="C2" s="3" t="s">
        <v>3</v>
      </c>
      <c r="D2" s="9" t="s">
        <v>13</v>
      </c>
      <c r="E2" s="3" t="s">
        <v>14</v>
      </c>
      <c r="F2" s="3" t="s">
        <v>15</v>
      </c>
      <c r="G2" s="3" t="s">
        <v>34</v>
      </c>
      <c r="H2" s="3" t="s">
        <v>35</v>
      </c>
      <c r="I2" s="3" t="s">
        <v>35</v>
      </c>
    </row>
    <row r="3" spans="2:9" ht="25" customHeight="1">
      <c r="B3" s="3" t="s">
        <v>37</v>
      </c>
      <c r="C3" s="8" t="s">
        <v>39</v>
      </c>
      <c r="D3" s="11" t="s">
        <v>38</v>
      </c>
      <c r="E3" s="3" t="s">
        <v>19</v>
      </c>
      <c r="F3" s="3" t="s">
        <v>18</v>
      </c>
      <c r="G3" s="3" t="s">
        <v>18</v>
      </c>
      <c r="H3" s="3" t="s">
        <v>18</v>
      </c>
      <c r="I3" s="3" t="s">
        <v>16</v>
      </c>
    </row>
    <row r="4" spans="2:9" ht="25" customHeight="1">
      <c r="B4" s="3" t="s">
        <v>41</v>
      </c>
      <c r="C4" s="8" t="s">
        <v>42</v>
      </c>
      <c r="D4" s="11" t="s">
        <v>40</v>
      </c>
      <c r="E4" s="3" t="s">
        <v>17</v>
      </c>
      <c r="F4" s="3" t="s">
        <v>18</v>
      </c>
      <c r="G4" s="3" t="s">
        <v>16</v>
      </c>
      <c r="H4" s="3" t="s">
        <v>16</v>
      </c>
      <c r="I4" s="3" t="s">
        <v>16</v>
      </c>
    </row>
    <row r="5" spans="2:9" ht="25" customHeight="1">
      <c r="B5" s="3" t="s">
        <v>43</v>
      </c>
      <c r="C5" s="8" t="s">
        <v>61</v>
      </c>
      <c r="D5" s="11" t="s">
        <v>51</v>
      </c>
      <c r="E5" s="3" t="s">
        <v>17</v>
      </c>
      <c r="F5" s="3" t="s">
        <v>16</v>
      </c>
      <c r="G5" s="3" t="s">
        <v>16</v>
      </c>
      <c r="H5" s="3" t="s">
        <v>66</v>
      </c>
      <c r="I5" s="3" t="s">
        <v>16</v>
      </c>
    </row>
    <row r="6" spans="2:9" ht="25" customHeight="1">
      <c r="B6" s="3" t="s">
        <v>44</v>
      </c>
      <c r="C6" s="8" t="s">
        <v>61</v>
      </c>
      <c r="D6" s="11" t="s">
        <v>52</v>
      </c>
      <c r="E6" s="3" t="s">
        <v>19</v>
      </c>
      <c r="F6" s="3" t="s">
        <v>18</v>
      </c>
      <c r="G6" s="3" t="s">
        <v>16</v>
      </c>
      <c r="H6" s="3" t="s">
        <v>66</v>
      </c>
      <c r="I6" s="3" t="s">
        <v>16</v>
      </c>
    </row>
    <row r="7" spans="2:9" ht="25" customHeight="1">
      <c r="B7" s="3" t="s">
        <v>45</v>
      </c>
      <c r="C7" s="3" t="s">
        <v>62</v>
      </c>
      <c r="D7" s="11" t="s">
        <v>53</v>
      </c>
      <c r="E7" s="3" t="s">
        <v>17</v>
      </c>
      <c r="F7" s="3" t="s">
        <v>18</v>
      </c>
      <c r="G7" s="3" t="s">
        <v>18</v>
      </c>
      <c r="H7" s="3" t="s">
        <v>66</v>
      </c>
      <c r="I7" s="3" t="s">
        <v>16</v>
      </c>
    </row>
    <row r="8" spans="2:9" ht="25" customHeight="1">
      <c r="B8" s="3" t="s">
        <v>46</v>
      </c>
      <c r="C8" s="8" t="s">
        <v>63</v>
      </c>
      <c r="D8" s="11" t="s">
        <v>54</v>
      </c>
      <c r="E8" s="3" t="s">
        <v>19</v>
      </c>
      <c r="F8" s="3" t="s">
        <v>18</v>
      </c>
      <c r="G8" s="3" t="s">
        <v>16</v>
      </c>
      <c r="H8" s="3" t="s">
        <v>66</v>
      </c>
      <c r="I8" s="3" t="s">
        <v>16</v>
      </c>
    </row>
    <row r="9" spans="2:9" ht="25" customHeight="1">
      <c r="B9" s="3" t="s">
        <v>47</v>
      </c>
      <c r="C9" s="3" t="s">
        <v>64</v>
      </c>
      <c r="D9" s="11" t="s">
        <v>55</v>
      </c>
      <c r="E9" s="3" t="s">
        <v>17</v>
      </c>
      <c r="F9" s="3" t="s">
        <v>16</v>
      </c>
      <c r="G9" s="3" t="s">
        <v>18</v>
      </c>
      <c r="H9" s="3" t="s">
        <v>16</v>
      </c>
      <c r="I9" s="3" t="s">
        <v>16</v>
      </c>
    </row>
    <row r="10" spans="2:9" ht="25" customHeight="1">
      <c r="B10" s="3" t="s">
        <v>48</v>
      </c>
      <c r="C10" s="3" t="s">
        <v>30</v>
      </c>
      <c r="D10" s="11" t="s">
        <v>56</v>
      </c>
      <c r="E10" s="3" t="s">
        <v>17</v>
      </c>
      <c r="F10" s="3" t="s">
        <v>18</v>
      </c>
      <c r="G10" s="3" t="s">
        <v>16</v>
      </c>
      <c r="H10" s="3" t="s">
        <v>66</v>
      </c>
      <c r="I10" s="3" t="s">
        <v>16</v>
      </c>
    </row>
    <row r="11" spans="2:9" ht="25" customHeight="1">
      <c r="B11" s="3" t="s">
        <v>49</v>
      </c>
      <c r="C11" s="3" t="s">
        <v>65</v>
      </c>
      <c r="D11" s="11" t="s">
        <v>57</v>
      </c>
      <c r="E11" s="3" t="s">
        <v>19</v>
      </c>
      <c r="F11" s="3" t="s">
        <v>16</v>
      </c>
      <c r="G11" s="3" t="s">
        <v>18</v>
      </c>
      <c r="H11" s="3" t="s">
        <v>16</v>
      </c>
      <c r="I11" s="3" t="s">
        <v>16</v>
      </c>
    </row>
    <row r="12" spans="2:9" ht="25" customHeight="1">
      <c r="B12" s="3" t="s">
        <v>50</v>
      </c>
      <c r="C12" s="3" t="s">
        <v>65</v>
      </c>
      <c r="D12" s="11" t="s">
        <v>58</v>
      </c>
      <c r="E12" s="3" t="s">
        <v>17</v>
      </c>
      <c r="F12" s="3" t="s">
        <v>16</v>
      </c>
      <c r="G12" s="3" t="s">
        <v>18</v>
      </c>
      <c r="H12" s="3" t="s">
        <v>18</v>
      </c>
      <c r="I12" s="3" t="s">
        <v>16</v>
      </c>
    </row>
    <row r="13" spans="2:9" ht="25" customHeight="1">
      <c r="B13" s="3" t="s">
        <v>112</v>
      </c>
      <c r="C13" s="3" t="s">
        <v>113</v>
      </c>
      <c r="D13" s="11" t="s">
        <v>114</v>
      </c>
      <c r="E13" s="3" t="s">
        <v>17</v>
      </c>
      <c r="F13" s="3" t="s">
        <v>16</v>
      </c>
      <c r="G13" s="3" t="s">
        <v>16</v>
      </c>
      <c r="H13" s="3" t="s">
        <v>16</v>
      </c>
      <c r="I13" s="3" t="s">
        <v>16</v>
      </c>
    </row>
    <row r="14" spans="2:9" ht="25" customHeight="1">
      <c r="B14" s="3" t="s">
        <v>115</v>
      </c>
      <c r="C14" s="3" t="s">
        <v>65</v>
      </c>
      <c r="D14" s="11" t="s">
        <v>116</v>
      </c>
      <c r="E14" s="3" t="s">
        <v>19</v>
      </c>
      <c r="F14" s="3" t="s">
        <v>16</v>
      </c>
      <c r="G14" s="3" t="s">
        <v>18</v>
      </c>
      <c r="H14" s="3" t="s">
        <v>16</v>
      </c>
      <c r="I14" s="3" t="s">
        <v>16</v>
      </c>
    </row>
    <row r="15" spans="2:9" ht="25" customHeight="1">
      <c r="D15" s="11"/>
    </row>
    <row r="16" spans="2:9" ht="25" customHeight="1">
      <c r="B16" s="5" t="s">
        <v>59</v>
      </c>
      <c r="D16" s="11" t="s">
        <v>60</v>
      </c>
      <c r="E16" s="3" t="s">
        <v>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A302B-8084-4103-8669-2F85424D6D8B}">
  <dimension ref="B2:Q36"/>
  <sheetViews>
    <sheetView showGridLines="0" zoomScaleNormal="100" workbookViewId="0">
      <selection activeCell="O15" sqref="O15"/>
    </sheetView>
  </sheetViews>
  <sheetFormatPr defaultColWidth="9.1796875" defaultRowHeight="14.5" outlineLevelCol="1"/>
  <cols>
    <col min="1" max="1" width="3.1796875" style="17" customWidth="1"/>
    <col min="2" max="2" width="33.81640625" style="17" customWidth="1"/>
    <col min="3" max="3" width="11.81640625" style="17" customWidth="1"/>
    <col min="4" max="4" width="11.54296875" style="17" bestFit="1" customWidth="1"/>
    <col min="5" max="5" width="14.81640625" style="17" bestFit="1" customWidth="1"/>
    <col min="6" max="6" width="14.1796875" style="17" bestFit="1" customWidth="1"/>
    <col min="7" max="7" width="15.26953125" style="17" bestFit="1" customWidth="1"/>
    <col min="8" max="9" width="11.54296875" style="17" customWidth="1"/>
    <col min="10" max="10" width="13.54296875" style="17" customWidth="1"/>
    <col min="11" max="11" width="9.1796875" style="17" customWidth="1" outlineLevel="1"/>
    <col min="12" max="12" width="13.08984375" style="17" customWidth="1" outlineLevel="1"/>
    <col min="13" max="13" width="12.453125" style="17" customWidth="1" outlineLevel="1"/>
    <col min="14" max="15" width="9.1796875" style="17"/>
    <col min="16" max="16" width="14" style="17" bestFit="1" customWidth="1"/>
    <col min="17" max="17" width="12.26953125" style="17" bestFit="1" customWidth="1"/>
    <col min="18" max="16384" width="9.1796875" style="17"/>
  </cols>
  <sheetData>
    <row r="2" spans="2:17" ht="25">
      <c r="B2" s="15" t="s">
        <v>69</v>
      </c>
      <c r="C2" s="15"/>
      <c r="D2" s="16"/>
      <c r="E2" s="16"/>
      <c r="F2" s="16"/>
      <c r="G2" s="16"/>
      <c r="H2" s="16"/>
      <c r="I2" s="16"/>
      <c r="J2" s="16"/>
      <c r="K2" s="16"/>
      <c r="L2" s="16"/>
    </row>
    <row r="3" spans="2:17">
      <c r="B3" s="18" t="s">
        <v>138</v>
      </c>
      <c r="C3" s="18"/>
      <c r="D3" s="16"/>
      <c r="E3" s="16"/>
      <c r="F3" s="16"/>
      <c r="G3" s="16"/>
      <c r="H3" s="16"/>
      <c r="I3" s="16"/>
      <c r="J3" s="16"/>
      <c r="K3" s="16"/>
      <c r="L3" s="16"/>
    </row>
    <row r="4" spans="2:17">
      <c r="B4" s="16" t="s">
        <v>111</v>
      </c>
      <c r="C4" s="16"/>
      <c r="D4" s="19"/>
      <c r="E4" s="19"/>
      <c r="F4" s="19"/>
      <c r="G4" s="19"/>
      <c r="H4" s="19"/>
      <c r="I4" s="19"/>
      <c r="J4" s="19"/>
      <c r="K4" s="19"/>
      <c r="L4" s="19"/>
    </row>
    <row r="5" spans="2:17">
      <c r="B5" s="16"/>
      <c r="C5" s="16"/>
      <c r="D5" s="19"/>
      <c r="E5" s="19"/>
      <c r="F5" s="19"/>
      <c r="G5" s="19"/>
      <c r="H5" s="20" t="s">
        <v>70</v>
      </c>
      <c r="I5" s="20"/>
      <c r="J5" s="20"/>
      <c r="K5" s="19"/>
      <c r="N5" s="21" t="s">
        <v>71</v>
      </c>
      <c r="O5" s="22"/>
      <c r="P5" s="22"/>
      <c r="Q5" s="22"/>
    </row>
    <row r="6" spans="2:17" ht="4.5" hidden="1" customHeight="1">
      <c r="B6" s="16"/>
      <c r="C6" s="16"/>
      <c r="D6" s="19"/>
      <c r="E6" s="19"/>
      <c r="F6" s="19"/>
      <c r="G6" s="19"/>
      <c r="H6" s="23" t="s">
        <v>72</v>
      </c>
      <c r="I6" s="23"/>
      <c r="J6" s="23"/>
      <c r="K6" s="19"/>
      <c r="L6" s="23" t="s">
        <v>72</v>
      </c>
    </row>
    <row r="7" spans="2:17">
      <c r="B7" s="16"/>
      <c r="C7" s="16"/>
      <c r="D7" s="19"/>
      <c r="E7" s="19"/>
      <c r="F7" s="19" t="s">
        <v>73</v>
      </c>
      <c r="G7" s="19" t="s">
        <v>74</v>
      </c>
      <c r="H7" s="19"/>
      <c r="I7" s="19"/>
      <c r="J7" s="19"/>
      <c r="K7" s="19" t="s">
        <v>75</v>
      </c>
      <c r="L7" s="19" t="s">
        <v>76</v>
      </c>
      <c r="M7" s="19" t="s">
        <v>77</v>
      </c>
      <c r="N7" s="19" t="s">
        <v>75</v>
      </c>
      <c r="O7" s="19" t="s">
        <v>75</v>
      </c>
      <c r="P7" s="19" t="s">
        <v>78</v>
      </c>
      <c r="Q7" s="19" t="s">
        <v>79</v>
      </c>
    </row>
    <row r="8" spans="2:17" ht="15" thickBot="1">
      <c r="B8" s="24" t="s">
        <v>80</v>
      </c>
      <c r="C8" s="24" t="s">
        <v>81</v>
      </c>
      <c r="D8" s="25" t="s">
        <v>82</v>
      </c>
      <c r="E8" s="26"/>
      <c r="F8" s="26" t="s">
        <v>83</v>
      </c>
      <c r="G8" s="26" t="s">
        <v>84</v>
      </c>
      <c r="H8" s="26" t="s">
        <v>85</v>
      </c>
      <c r="I8" s="26" t="s">
        <v>86</v>
      </c>
      <c r="J8" s="26" t="s">
        <v>87</v>
      </c>
      <c r="K8" s="26" t="s">
        <v>88</v>
      </c>
      <c r="L8" s="26" t="s">
        <v>89</v>
      </c>
      <c r="M8" s="26" t="s">
        <v>90</v>
      </c>
      <c r="N8" s="26" t="s">
        <v>91</v>
      </c>
      <c r="O8" s="26" t="s">
        <v>92</v>
      </c>
      <c r="P8" s="26" t="s">
        <v>93</v>
      </c>
      <c r="Q8" s="26" t="s">
        <v>94</v>
      </c>
    </row>
    <row r="9" spans="2:17">
      <c r="B9" s="27" t="s">
        <v>110</v>
      </c>
      <c r="C9" s="16" t="s">
        <v>59</v>
      </c>
      <c r="D9" s="28">
        <v>37.54</v>
      </c>
      <c r="E9" s="49"/>
      <c r="F9" s="29">
        <v>3925</v>
      </c>
      <c r="G9" s="30"/>
      <c r="H9" s="31"/>
      <c r="I9" s="31"/>
      <c r="J9" s="31"/>
      <c r="K9" s="28">
        <v>0.1</v>
      </c>
      <c r="L9" s="32">
        <v>0.1459</v>
      </c>
      <c r="M9" s="29">
        <v>401.03699999999998</v>
      </c>
      <c r="N9" s="31"/>
      <c r="O9" s="31"/>
      <c r="P9" s="31"/>
      <c r="Q9" s="60"/>
    </row>
    <row r="10" spans="2:17">
      <c r="B10" s="16"/>
      <c r="C10" s="16"/>
      <c r="D10" s="28"/>
      <c r="E10" s="49"/>
      <c r="F10" s="29"/>
      <c r="G10" s="30"/>
      <c r="H10" s="31"/>
      <c r="I10" s="31"/>
      <c r="J10" s="31"/>
      <c r="K10" s="28"/>
      <c r="L10" s="32"/>
      <c r="M10" s="29"/>
    </row>
    <row r="11" spans="2:17">
      <c r="B11" s="16" t="s">
        <v>117</v>
      </c>
      <c r="C11" s="16" t="s">
        <v>37</v>
      </c>
      <c r="D11" s="33"/>
      <c r="E11" s="49"/>
      <c r="F11" s="29"/>
      <c r="G11" s="30"/>
      <c r="H11" s="31"/>
      <c r="I11" s="31"/>
      <c r="J11" s="31"/>
      <c r="K11" s="33"/>
      <c r="L11" s="32"/>
      <c r="M11" s="29"/>
      <c r="N11" s="31"/>
      <c r="O11" s="31"/>
      <c r="P11" s="31"/>
      <c r="Q11" s="60"/>
    </row>
    <row r="12" spans="2:17">
      <c r="B12" s="16" t="s">
        <v>118</v>
      </c>
      <c r="C12" s="16" t="s">
        <v>44</v>
      </c>
      <c r="D12" s="33"/>
      <c r="E12" s="49"/>
      <c r="F12" s="29"/>
      <c r="G12" s="30"/>
      <c r="H12" s="31"/>
      <c r="I12" s="31"/>
      <c r="J12" s="31"/>
      <c r="K12" s="33"/>
      <c r="L12" s="32"/>
      <c r="M12" s="29"/>
      <c r="N12" s="31"/>
      <c r="O12" s="31"/>
      <c r="P12" s="31"/>
      <c r="Q12" s="60"/>
    </row>
    <row r="13" spans="2:17">
      <c r="B13" s="16" t="s">
        <v>119</v>
      </c>
      <c r="C13" s="16" t="s">
        <v>45</v>
      </c>
      <c r="D13" s="33">
        <v>251.74</v>
      </c>
      <c r="E13" s="49"/>
      <c r="F13" s="29">
        <v>25035</v>
      </c>
      <c r="G13" s="30"/>
      <c r="H13" s="31"/>
      <c r="I13" s="31"/>
      <c r="J13" s="31"/>
      <c r="K13" s="33">
        <v>2.4</v>
      </c>
      <c r="L13" s="32">
        <v>0.3</v>
      </c>
      <c r="M13" s="29">
        <v>-1459.586</v>
      </c>
      <c r="N13" s="31"/>
      <c r="O13" s="31"/>
      <c r="P13" s="31"/>
      <c r="Q13" s="60"/>
    </row>
    <row r="14" spans="2:17">
      <c r="B14" s="16" t="s">
        <v>120</v>
      </c>
      <c r="C14" s="16" t="s">
        <v>41</v>
      </c>
      <c r="D14" s="33">
        <v>22.44</v>
      </c>
      <c r="E14" s="49"/>
      <c r="F14" s="29">
        <v>1560</v>
      </c>
      <c r="G14" s="30"/>
      <c r="H14" s="31"/>
      <c r="I14" s="31"/>
      <c r="J14" s="31"/>
      <c r="K14" s="33">
        <v>0.7</v>
      </c>
      <c r="L14" s="32">
        <v>0.24110000000000001</v>
      </c>
      <c r="M14" s="29">
        <v>151.43700000000001</v>
      </c>
      <c r="N14" s="31"/>
      <c r="O14" s="31"/>
      <c r="P14" s="31"/>
      <c r="Q14" s="60"/>
    </row>
    <row r="15" spans="2:17">
      <c r="B15" s="16" t="s">
        <v>121</v>
      </c>
      <c r="C15" s="16" t="s">
        <v>46</v>
      </c>
      <c r="D15" s="33">
        <v>52.06</v>
      </c>
      <c r="E15" s="49"/>
      <c r="F15" s="29">
        <v>2226</v>
      </c>
      <c r="G15" s="30"/>
      <c r="H15" s="31"/>
      <c r="I15" s="31"/>
      <c r="J15" s="31"/>
      <c r="K15" s="33">
        <v>0.15</v>
      </c>
      <c r="L15" s="32">
        <v>1.131</v>
      </c>
      <c r="M15" s="29">
        <v>419.30599999999998</v>
      </c>
      <c r="N15" s="31"/>
      <c r="O15" s="31"/>
      <c r="P15" s="31"/>
      <c r="Q15" s="60"/>
    </row>
    <row r="16" spans="2:17">
      <c r="B16" s="16" t="s">
        <v>123</v>
      </c>
      <c r="C16" s="16" t="s">
        <v>48</v>
      </c>
      <c r="D16" s="28">
        <v>63.96</v>
      </c>
      <c r="E16" s="35"/>
      <c r="F16" s="29">
        <v>26383</v>
      </c>
      <c r="G16" s="30"/>
      <c r="H16" s="31"/>
      <c r="I16" s="31"/>
      <c r="J16" s="31"/>
      <c r="K16" s="33">
        <v>-0.16</v>
      </c>
      <c r="L16" s="32">
        <v>1.321</v>
      </c>
      <c r="M16" s="29">
        <v>-377.61200000000002</v>
      </c>
      <c r="N16" s="31"/>
      <c r="O16" s="31"/>
      <c r="P16" s="31"/>
      <c r="Q16" s="60"/>
    </row>
    <row r="17" spans="2:17">
      <c r="B17" s="16"/>
      <c r="C17" s="16"/>
      <c r="D17" s="34"/>
      <c r="E17" s="35"/>
      <c r="F17" s="30"/>
    </row>
    <row r="18" spans="2:17">
      <c r="B18" s="16"/>
      <c r="C18" s="16"/>
      <c r="D18" s="34"/>
      <c r="E18" s="35"/>
      <c r="F18" s="30"/>
      <c r="G18" s="36" t="s">
        <v>95</v>
      </c>
      <c r="H18" s="37"/>
      <c r="I18" s="37"/>
      <c r="J18" s="37"/>
      <c r="K18" s="39"/>
      <c r="L18" s="38"/>
      <c r="M18" s="38"/>
      <c r="N18" s="37"/>
      <c r="O18" s="37"/>
      <c r="P18" s="37"/>
      <c r="Q18" s="61"/>
    </row>
    <row r="19" spans="2:17">
      <c r="B19" s="16"/>
      <c r="C19" s="16"/>
      <c r="D19" s="34"/>
      <c r="E19" s="35"/>
      <c r="F19" s="30"/>
      <c r="G19" s="36" t="s">
        <v>96</v>
      </c>
      <c r="H19" s="40"/>
      <c r="I19" s="40"/>
      <c r="J19" s="40"/>
      <c r="K19" s="42"/>
      <c r="L19" s="41"/>
      <c r="M19" s="41"/>
      <c r="N19" s="40"/>
      <c r="O19" s="40"/>
      <c r="P19" s="40"/>
      <c r="Q19" s="62"/>
    </row>
    <row r="20" spans="2:17">
      <c r="B20" s="16"/>
      <c r="C20" s="16"/>
      <c r="D20" s="34"/>
      <c r="E20" s="35"/>
      <c r="F20" s="30"/>
      <c r="G20" s="36" t="s">
        <v>97</v>
      </c>
      <c r="H20" s="40"/>
      <c r="I20" s="40"/>
      <c r="J20" s="40"/>
      <c r="K20" s="42"/>
      <c r="L20" s="41"/>
      <c r="M20" s="41"/>
      <c r="N20" s="40"/>
      <c r="O20" s="40"/>
      <c r="P20" s="40"/>
      <c r="Q20" s="62"/>
    </row>
    <row r="21" spans="2:17">
      <c r="B21" s="16"/>
      <c r="C21" s="16"/>
      <c r="D21" s="16"/>
      <c r="E21" s="16"/>
      <c r="F21" s="16"/>
      <c r="G21" s="36" t="s">
        <v>98</v>
      </c>
      <c r="H21" s="43"/>
      <c r="I21" s="43"/>
      <c r="J21" s="43"/>
      <c r="K21" s="45"/>
      <c r="L21" s="44"/>
      <c r="M21" s="44"/>
      <c r="N21" s="43"/>
      <c r="O21" s="43"/>
      <c r="P21" s="43"/>
      <c r="Q21" s="63"/>
    </row>
    <row r="24" spans="2:17" ht="42.5">
      <c r="B24" s="16"/>
      <c r="C24" s="16"/>
      <c r="D24" s="46" t="s">
        <v>99</v>
      </c>
      <c r="E24" s="46" t="s">
        <v>100</v>
      </c>
      <c r="F24" s="46" t="s">
        <v>101</v>
      </c>
      <c r="G24" s="46" t="s">
        <v>102</v>
      </c>
      <c r="H24" s="46" t="s">
        <v>103</v>
      </c>
      <c r="I24" s="46" t="s">
        <v>104</v>
      </c>
      <c r="J24" s="46" t="s">
        <v>105</v>
      </c>
      <c r="K24" s="46"/>
      <c r="N24" s="46" t="s">
        <v>106</v>
      </c>
      <c r="O24" s="46" t="s">
        <v>107</v>
      </c>
      <c r="P24" s="46" t="s">
        <v>108</v>
      </c>
      <c r="Q24" s="46" t="s">
        <v>109</v>
      </c>
    </row>
    <row r="25" spans="2:17">
      <c r="B25" s="27" t="s">
        <v>110</v>
      </c>
      <c r="C25" s="16"/>
      <c r="D25" s="47"/>
      <c r="E25" s="30"/>
      <c r="F25" s="30"/>
      <c r="G25" s="30"/>
      <c r="H25" s="48"/>
      <c r="I25" s="16"/>
      <c r="J25" s="31"/>
      <c r="K25" s="33"/>
      <c r="L25" s="48"/>
    </row>
    <row r="26" spans="2:17">
      <c r="B26" s="16"/>
      <c r="C26" s="16"/>
      <c r="D26" s="47"/>
      <c r="E26" s="30"/>
      <c r="F26" s="30"/>
      <c r="G26" s="30"/>
      <c r="H26" s="48"/>
      <c r="I26" s="16"/>
      <c r="J26" s="31"/>
      <c r="K26" s="33"/>
      <c r="L26" s="48"/>
    </row>
    <row r="27" spans="2:17">
      <c r="D27" s="47"/>
      <c r="E27" s="30"/>
      <c r="F27" s="30"/>
      <c r="G27" s="30"/>
      <c r="H27" s="48"/>
      <c r="I27" s="48"/>
    </row>
    <row r="28" spans="2:17">
      <c r="D28" s="47"/>
      <c r="E28" s="30"/>
      <c r="F28" s="30"/>
      <c r="G28" s="30"/>
      <c r="H28" s="48"/>
      <c r="I28" s="48"/>
    </row>
    <row r="29" spans="2:17">
      <c r="E29" s="30"/>
      <c r="F29" s="30"/>
      <c r="G29" s="30"/>
      <c r="J29" s="48"/>
    </row>
    <row r="30" spans="2:17">
      <c r="E30" s="30"/>
      <c r="J30" s="48"/>
    </row>
    <row r="31" spans="2:17">
      <c r="D31" s="64"/>
      <c r="E31" s="30"/>
      <c r="N31" s="48"/>
    </row>
    <row r="32" spans="2:17">
      <c r="D32" s="64"/>
      <c r="E32" s="30"/>
      <c r="N32" s="48"/>
    </row>
    <row r="33" spans="4:16">
      <c r="D33" s="64"/>
      <c r="E33" s="30"/>
      <c r="O33" s="48"/>
    </row>
    <row r="34" spans="4:16">
      <c r="D34" s="64"/>
      <c r="E34" s="30"/>
      <c r="O34" s="48"/>
    </row>
    <row r="35" spans="4:16">
      <c r="D35" s="47"/>
      <c r="E35" s="30"/>
      <c r="F35" s="30"/>
      <c r="P35" s="48"/>
    </row>
    <row r="36" spans="4:16">
      <c r="D36" s="47"/>
      <c r="E36" s="30"/>
      <c r="F36" s="30"/>
      <c r="P36" s="48"/>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567F-8912-4A44-9A5A-85777A15CEF9}">
  <dimension ref="A1:S168"/>
  <sheetViews>
    <sheetView showGridLines="0" topLeftCell="A40" zoomScale="85" zoomScaleNormal="85" workbookViewId="0">
      <selection activeCell="I44" sqref="I44"/>
    </sheetView>
  </sheetViews>
  <sheetFormatPr defaultColWidth="9.1796875" defaultRowHeight="14" outlineLevelRow="1"/>
  <cols>
    <col min="1" max="1" width="3.81640625" style="65" customWidth="1"/>
    <col min="2" max="2" width="30" style="65" customWidth="1"/>
    <col min="3" max="3" width="6" style="65" bestFit="1" customWidth="1"/>
    <col min="4" max="4" width="8.54296875" style="65" customWidth="1"/>
    <col min="5" max="5" width="11.90625" style="65" bestFit="1" customWidth="1"/>
    <col min="6" max="6" width="11.26953125" style="65" customWidth="1"/>
    <col min="7" max="7" width="10.453125" style="65" bestFit="1" customWidth="1"/>
    <col min="8" max="8" width="11.453125" style="65" customWidth="1"/>
    <col min="9" max="9" width="11.90625" style="65" bestFit="1" customWidth="1"/>
    <col min="10" max="10" width="11" style="65" bestFit="1" customWidth="1"/>
    <col min="11" max="11" width="11.81640625" style="65" customWidth="1"/>
    <col min="12" max="15" width="11.90625" style="65" bestFit="1" customWidth="1"/>
    <col min="16" max="18" width="9.1796875" style="65"/>
    <col min="19" max="19" width="10.90625" style="65" bestFit="1" customWidth="1"/>
    <col min="20" max="16384" width="9.1796875" style="65"/>
  </cols>
  <sheetData>
    <row r="1" spans="1:15">
      <c r="B1" s="66" t="s">
        <v>139</v>
      </c>
    </row>
    <row r="2" spans="1:15">
      <c r="B2" s="67" t="s">
        <v>140</v>
      </c>
      <c r="D2" s="67"/>
      <c r="E2" s="67"/>
    </row>
    <row r="3" spans="1:15">
      <c r="B3" s="67"/>
      <c r="D3" s="67"/>
      <c r="E3" s="67"/>
    </row>
    <row r="4" spans="1:15">
      <c r="A4" s="65" t="s">
        <v>141</v>
      </c>
      <c r="B4" s="68" t="s">
        <v>142</v>
      </c>
      <c r="C4" s="68"/>
      <c r="D4" s="69"/>
      <c r="E4" s="69"/>
      <c r="F4" s="68"/>
      <c r="G4" s="68"/>
      <c r="H4" s="68"/>
      <c r="I4" s="68"/>
      <c r="J4" s="68"/>
      <c r="K4" s="68"/>
      <c r="L4" s="68"/>
      <c r="M4" s="68"/>
      <c r="N4" s="68"/>
      <c r="O4" s="68"/>
    </row>
    <row r="5" spans="1:15">
      <c r="C5" s="67"/>
      <c r="D5" s="67"/>
      <c r="E5" s="67"/>
    </row>
    <row r="6" spans="1:15">
      <c r="B6" s="67"/>
      <c r="C6" s="67"/>
      <c r="D6" s="67"/>
      <c r="E6" s="67"/>
      <c r="F6" s="70" t="s">
        <v>143</v>
      </c>
      <c r="G6" s="71"/>
      <c r="H6" s="71"/>
      <c r="I6" s="71"/>
      <c r="J6" s="72"/>
      <c r="K6" s="70" t="s">
        <v>144</v>
      </c>
      <c r="L6" s="71"/>
      <c r="M6" s="71"/>
      <c r="N6" s="71"/>
      <c r="O6" s="72"/>
    </row>
    <row r="7" spans="1:15">
      <c r="B7" s="67"/>
      <c r="C7" s="67"/>
      <c r="D7" s="67"/>
      <c r="E7" s="67"/>
      <c r="F7" s="73">
        <v>2016</v>
      </c>
      <c r="G7" s="74">
        <f>F7+1</f>
        <v>2017</v>
      </c>
      <c r="H7" s="74">
        <f t="shared" ref="H7:O7" si="0">G7+1</f>
        <v>2018</v>
      </c>
      <c r="I7" s="74">
        <f t="shared" si="0"/>
        <v>2019</v>
      </c>
      <c r="J7" s="75">
        <f t="shared" si="0"/>
        <v>2020</v>
      </c>
      <c r="K7" s="76">
        <f t="shared" si="0"/>
        <v>2021</v>
      </c>
      <c r="L7" s="76">
        <f t="shared" si="0"/>
        <v>2022</v>
      </c>
      <c r="M7" s="76">
        <f t="shared" si="0"/>
        <v>2023</v>
      </c>
      <c r="N7" s="76">
        <f t="shared" si="0"/>
        <v>2024</v>
      </c>
      <c r="O7" s="76">
        <f t="shared" si="0"/>
        <v>2025</v>
      </c>
    </row>
    <row r="8" spans="1:15">
      <c r="B8" s="65" t="s">
        <v>145</v>
      </c>
      <c r="F8" s="77">
        <f>INDEX(SFIX_IS!$A$10:$F$51,MATCH(SFIX_DCF!$B8,SFIX_IS!$A$10:$A$51,0),MATCH(SFIX_DCF!F$7,SFIX_IS!$A$10:$F$10,0))</f>
        <v>730313</v>
      </c>
      <c r="G8" s="77">
        <f>INDEX(SFIX_IS!$A$10:$F$51,MATCH(SFIX_DCF!$B8,SFIX_IS!$A$10:$A$51,0),MATCH(SFIX_DCF!G$7,SFIX_IS!$A$10:$F$10,0))</f>
        <v>977139</v>
      </c>
      <c r="H8" s="77">
        <f>INDEX(SFIX_IS!$A$10:$F$51,MATCH(SFIX_DCF!$B8,SFIX_IS!$A$10:$A$51,0),MATCH(SFIX_DCF!H$7,SFIX_IS!$A$10:$F$10,0))</f>
        <v>1226505</v>
      </c>
      <c r="I8" s="77">
        <f>INDEX(SFIX_IS!$A$10:$F$51,MATCH(SFIX_DCF!$B8,SFIX_IS!$A$10:$A$51,0),MATCH(SFIX_DCF!I$7,SFIX_IS!$A$10:$F$10,0))</f>
        <v>1577558</v>
      </c>
      <c r="J8" s="78">
        <f>INDEX(SFIX_IS!$A$10:$F$51,MATCH(SFIX_DCF!$B8,SFIX_IS!$A$10:$A$51,0),MATCH(SFIX_DCF!J$7,SFIX_IS!$A$10:$F$10,0))</f>
        <v>1711733</v>
      </c>
      <c r="K8" s="79">
        <f>J8*(1+K26)</f>
        <v>1968492.95</v>
      </c>
      <c r="L8" s="79">
        <f t="shared" ref="L8:O8" si="1">K8*(1+L26)</f>
        <v>2288373.0543750003</v>
      </c>
      <c r="M8" s="79">
        <f t="shared" si="1"/>
        <v>2688838.3388906256</v>
      </c>
      <c r="N8" s="79">
        <f t="shared" si="1"/>
        <v>3192995.5274326177</v>
      </c>
      <c r="O8" s="79">
        <f t="shared" si="1"/>
        <v>3831594.6329191411</v>
      </c>
    </row>
    <row r="9" spans="1:15">
      <c r="B9" s="65" t="s">
        <v>146</v>
      </c>
      <c r="F9" s="80">
        <f>INDEX(SFIX_IS!$A$10:$F$51,MATCH(SFIX_DCF!$B9,SFIX_IS!$A$10:$A$51,0),MATCH(SFIX_DCF!F$7,SFIX_IS!$A$10:$F$10,0))</f>
        <v>407064</v>
      </c>
      <c r="G9" s="80">
        <f>INDEX(SFIX_IS!$A$10:$F$51,MATCH(SFIX_DCF!$B9,SFIX_IS!$A$10:$A$51,0),MATCH(SFIX_DCF!G$7,SFIX_IS!$A$10:$F$10,0))</f>
        <v>542718</v>
      </c>
      <c r="H9" s="80">
        <f>INDEX(SFIX_IS!$A$10:$F$51,MATCH(SFIX_DCF!$B9,SFIX_IS!$A$10:$A$51,0),MATCH(SFIX_DCF!H$7,SFIX_IS!$A$10:$F$10,0))</f>
        <v>690483</v>
      </c>
      <c r="I9" s="80">
        <f>INDEX(SFIX_IS!$A$10:$F$51,MATCH(SFIX_DCF!$B9,SFIX_IS!$A$10:$A$51,0),MATCH(SFIX_DCF!I$7,SFIX_IS!$A$10:$F$10,0))</f>
        <v>874429</v>
      </c>
      <c r="J9" s="81">
        <f>INDEX(SFIX_IS!$A$10:$F$51,MATCH(SFIX_DCF!$B9,SFIX_IS!$A$10:$A$51,0),MATCH(SFIX_DCF!J$7,SFIX_IS!$A$10:$F$10,0))</f>
        <v>957523</v>
      </c>
      <c r="K9" s="79">
        <f>K27*K8</f>
        <v>1092513.5872500001</v>
      </c>
      <c r="L9" s="79">
        <f t="shared" ref="L9:O9" si="2">L27*L8</f>
        <v>1267186.5788601567</v>
      </c>
      <c r="M9" s="79">
        <f t="shared" si="2"/>
        <v>1485583.182237071</v>
      </c>
      <c r="N9" s="79">
        <f t="shared" si="2"/>
        <v>1760138.784497231</v>
      </c>
      <c r="O9" s="79">
        <f t="shared" si="2"/>
        <v>2107377.0481055281</v>
      </c>
    </row>
    <row r="10" spans="1:15">
      <c r="B10" s="66" t="s">
        <v>147</v>
      </c>
      <c r="F10" s="82">
        <f>F8-F9</f>
        <v>323249</v>
      </c>
      <c r="G10" s="82">
        <f t="shared" ref="G10:J10" si="3">G8-G9</f>
        <v>434421</v>
      </c>
      <c r="H10" s="82">
        <f t="shared" si="3"/>
        <v>536022</v>
      </c>
      <c r="I10" s="82">
        <f t="shared" si="3"/>
        <v>703129</v>
      </c>
      <c r="J10" s="83">
        <f t="shared" si="3"/>
        <v>754210</v>
      </c>
      <c r="K10" s="84">
        <f>K8-K9</f>
        <v>875979.36274999985</v>
      </c>
      <c r="L10" s="84">
        <f t="shared" ref="L10:O10" si="4">L8-L9</f>
        <v>1021186.4755148436</v>
      </c>
      <c r="M10" s="84">
        <f t="shared" si="4"/>
        <v>1203255.1566535546</v>
      </c>
      <c r="N10" s="84">
        <f t="shared" si="4"/>
        <v>1432856.7429353867</v>
      </c>
      <c r="O10" s="84">
        <f t="shared" si="4"/>
        <v>1724217.584813613</v>
      </c>
    </row>
    <row r="11" spans="1:15">
      <c r="B11" s="66"/>
      <c r="F11" s="85"/>
      <c r="G11" s="85"/>
      <c r="H11" s="85"/>
      <c r="I11" s="85"/>
      <c r="J11" s="86"/>
      <c r="K11" s="79"/>
      <c r="L11" s="79"/>
      <c r="M11" s="79"/>
      <c r="N11" s="79"/>
      <c r="O11" s="79"/>
    </row>
    <row r="12" spans="1:15">
      <c r="B12" s="65" t="s">
        <v>148</v>
      </c>
      <c r="F12" s="87">
        <f>INDEX(SFIX_IS!$A$10:$F$51,MATCH(SFIX_DCF!$B12,SFIX_IS!$A$10:$A$51,0),MATCH(SFIX_DCF!F$7,SFIX_IS!$A$10:$F$10,0))</f>
        <v>259021</v>
      </c>
      <c r="G12" s="87">
        <f>INDEX(SFIX_IS!$A$10:$F$51,MATCH(SFIX_DCF!$B12,SFIX_IS!$A$10:$A$51,0),MATCH(SFIX_DCF!G$7,SFIX_IS!$A$10:$F$10,0))</f>
        <v>402781</v>
      </c>
      <c r="H12" s="87">
        <f>INDEX(SFIX_IS!$A$10:$F$51,MATCH(SFIX_DCF!$B12,SFIX_IS!$A$10:$A$51,0),MATCH(SFIX_DCF!H$7,SFIX_IS!$A$10:$F$10,0))</f>
        <v>492998</v>
      </c>
      <c r="I12" s="87">
        <f>INDEX(SFIX_IS!$A$10:$F$51,MATCH(SFIX_DCF!$B12,SFIX_IS!$A$10:$A$51,0),MATCH(SFIX_DCF!I$7,SFIX_IS!$A$10:$F$10,0))</f>
        <v>679634</v>
      </c>
      <c r="J12" s="88">
        <f>INDEX(SFIX_IS!$A$10:$F$51,MATCH(SFIX_DCF!$B12,SFIX_IS!$A$10:$A$51,0),MATCH(SFIX_DCF!J$7,SFIX_IS!$A$10:$F$10,0))</f>
        <v>805874</v>
      </c>
      <c r="K12" s="89">
        <f>K8*K28</f>
        <v>984246.47499999998</v>
      </c>
      <c r="L12" s="79">
        <f t="shared" ref="L12:O12" si="5">L8*L28</f>
        <v>1086977.200828125</v>
      </c>
      <c r="M12" s="79">
        <f t="shared" si="5"/>
        <v>1209977.2525007813</v>
      </c>
      <c r="N12" s="79">
        <f t="shared" si="5"/>
        <v>1357023.0991588624</v>
      </c>
      <c r="O12" s="79">
        <f t="shared" si="5"/>
        <v>1532637.8531676561</v>
      </c>
    </row>
    <row r="13" spans="1:15">
      <c r="B13" s="90" t="s">
        <v>129</v>
      </c>
      <c r="C13" s="90"/>
      <c r="D13" s="90"/>
      <c r="E13" s="90"/>
      <c r="F13" s="82">
        <f>F10-F12</f>
        <v>64228</v>
      </c>
      <c r="G13" s="82">
        <f t="shared" ref="G13:O13" si="6">G10-G12</f>
        <v>31640</v>
      </c>
      <c r="H13" s="82">
        <f t="shared" si="6"/>
        <v>43024</v>
      </c>
      <c r="I13" s="82">
        <f t="shared" si="6"/>
        <v>23495</v>
      </c>
      <c r="J13" s="91">
        <f t="shared" si="6"/>
        <v>-51664</v>
      </c>
      <c r="K13" s="82">
        <f t="shared" si="6"/>
        <v>-108267.11225000012</v>
      </c>
      <c r="L13" s="92">
        <f t="shared" si="6"/>
        <v>-65790.725313281408</v>
      </c>
      <c r="M13" s="92">
        <f t="shared" si="6"/>
        <v>-6722.0958472266793</v>
      </c>
      <c r="N13" s="92">
        <f t="shared" si="6"/>
        <v>75833.643776524346</v>
      </c>
      <c r="O13" s="92">
        <f t="shared" si="6"/>
        <v>191579.73164595687</v>
      </c>
    </row>
    <row r="14" spans="1:15">
      <c r="B14" s="65" t="s">
        <v>149</v>
      </c>
      <c r="C14" s="93"/>
      <c r="D14" s="93">
        <v>0.25</v>
      </c>
      <c r="F14" s="94">
        <f>F13*$D$14</f>
        <v>16057</v>
      </c>
      <c r="G14" s="94">
        <f t="shared" ref="G14:O14" si="7">G13*$D$14</f>
        <v>7910</v>
      </c>
      <c r="H14" s="94">
        <f t="shared" si="7"/>
        <v>10756</v>
      </c>
      <c r="I14" s="94">
        <f t="shared" si="7"/>
        <v>5873.75</v>
      </c>
      <c r="J14" s="95">
        <f t="shared" si="7"/>
        <v>-12916</v>
      </c>
      <c r="K14" s="96">
        <f t="shared" si="7"/>
        <v>-27066.778062500031</v>
      </c>
      <c r="L14" s="94">
        <f t="shared" si="7"/>
        <v>-16447.681328320352</v>
      </c>
      <c r="M14" s="94">
        <f t="shared" si="7"/>
        <v>-1680.5239618066698</v>
      </c>
      <c r="N14" s="94">
        <f t="shared" si="7"/>
        <v>18958.410944131087</v>
      </c>
      <c r="O14" s="94">
        <f t="shared" si="7"/>
        <v>47894.932911489217</v>
      </c>
    </row>
    <row r="15" spans="1:15">
      <c r="B15" s="97" t="s">
        <v>150</v>
      </c>
      <c r="C15" s="97"/>
      <c r="D15" s="97"/>
      <c r="E15" s="97"/>
      <c r="F15" s="98">
        <f>F13-F14</f>
        <v>48171</v>
      </c>
      <c r="G15" s="98">
        <f t="shared" ref="G15:O15" si="8">G13-G14</f>
        <v>23730</v>
      </c>
      <c r="H15" s="98">
        <f t="shared" si="8"/>
        <v>32268</v>
      </c>
      <c r="I15" s="98">
        <f t="shared" si="8"/>
        <v>17621.25</v>
      </c>
      <c r="J15" s="99">
        <f t="shared" si="8"/>
        <v>-38748</v>
      </c>
      <c r="K15" s="94">
        <f t="shared" si="8"/>
        <v>-81200.334187500092</v>
      </c>
      <c r="L15" s="98">
        <f t="shared" si="8"/>
        <v>-49343.043984961056</v>
      </c>
      <c r="M15" s="98">
        <f t="shared" si="8"/>
        <v>-5041.5718854200095</v>
      </c>
      <c r="N15" s="98">
        <f t="shared" si="8"/>
        <v>56875.23283239326</v>
      </c>
      <c r="O15" s="98">
        <f t="shared" si="8"/>
        <v>143684.79873446765</v>
      </c>
    </row>
    <row r="16" spans="1:15">
      <c r="F16" s="100"/>
      <c r="G16" s="100"/>
      <c r="H16" s="100"/>
      <c r="I16" s="100"/>
      <c r="J16" s="101"/>
      <c r="K16" s="79"/>
      <c r="L16" s="79"/>
      <c r="M16" s="79"/>
      <c r="N16" s="79"/>
      <c r="O16" s="79"/>
    </row>
    <row r="17" spans="2:19">
      <c r="B17" s="65" t="s">
        <v>151</v>
      </c>
      <c r="F17" s="80">
        <f>INDEX(SFIX_IS!$A$10:$F$51,MATCH(SFIX_DCF!$B17,SFIX_IS!$A$10:$A$51,0),MATCH(SFIX_DCF!F$7,SFIX_IS!$A$10:$F$10,0))</f>
        <v>3544</v>
      </c>
      <c r="G17" s="80">
        <f>INDEX(SFIX_IS!$A$10:$F$51,MATCH(SFIX_DCF!$B17,SFIX_IS!$A$10:$A$51,0),MATCH(SFIX_DCF!G$7,SFIX_IS!$A$10:$F$10,0))</f>
        <v>7655</v>
      </c>
      <c r="H17" s="80">
        <f>INDEX(SFIX_IS!$A$10:$F$51,MATCH(SFIX_DCF!$B17,SFIX_IS!$A$10:$A$51,0),MATCH(SFIX_DCF!H$7,SFIX_IS!$A$10:$F$10,0))</f>
        <v>10542</v>
      </c>
      <c r="I17" s="80">
        <f>INDEX(SFIX_IS!$A$10:$F$51,MATCH(SFIX_DCF!$B17,SFIX_IS!$A$10:$A$51,0),MATCH(SFIX_DCF!I$7,SFIX_IS!$A$10:$F$10,0))</f>
        <v>14331</v>
      </c>
      <c r="J17" s="81">
        <f>INDEX(SFIX_IS!$A$10:$F$51,MATCH(SFIX_DCF!$B17,SFIX_IS!$A$10:$A$51,0),MATCH(SFIX_DCF!J$7,SFIX_IS!$A$10:$F$10,0))</f>
        <v>22617</v>
      </c>
      <c r="K17" s="94">
        <f>-K30*K18</f>
        <v>50196.570224999996</v>
      </c>
      <c r="L17" s="94">
        <f t="shared" ref="L17:O17" si="9">-L30*L18</f>
        <v>53311.941001142579</v>
      </c>
      <c r="M17" s="94">
        <f t="shared" si="9"/>
        <v>55961.447928161142</v>
      </c>
      <c r="N17" s="94">
        <f t="shared" si="9"/>
        <v>57623.591159135518</v>
      </c>
      <c r="O17" s="94">
        <f t="shared" si="9"/>
        <v>57473.919493787107</v>
      </c>
    </row>
    <row r="18" spans="2:19">
      <c r="B18" s="65" t="s">
        <v>152</v>
      </c>
      <c r="F18" s="80">
        <f>INDEX(SFIX_IS!$A$10:$F$51,MATCH(SFIX_DCF!$B18,SFIX_IS!$A$10:$A$51,0),MATCH(SFIX_DCF!F$7,SFIX_IS!$A$10:$F$10,0))</f>
        <v>-15238</v>
      </c>
      <c r="G18" s="80">
        <f>INDEX(SFIX_IS!$A$10:$F$51,MATCH(SFIX_DCF!$B18,SFIX_IS!$A$10:$A$51,0),MATCH(SFIX_DCF!G$7,SFIX_IS!$A$10:$F$10,0))</f>
        <v>-17165</v>
      </c>
      <c r="H18" s="80">
        <f>INDEX(SFIX_IS!$A$10:$F$51,MATCH(SFIX_DCF!$B18,SFIX_IS!$A$10:$A$51,0),MATCH(SFIX_DCF!H$7,SFIX_IS!$A$10:$F$10,0))</f>
        <v>-16565</v>
      </c>
      <c r="I18" s="80">
        <f>INDEX(SFIX_IS!$A$10:$F$51,MATCH(SFIX_DCF!$B18,SFIX_IS!$A$10:$A$51,0),MATCH(SFIX_DCF!I$7,SFIX_IS!$A$10:$F$10,0))</f>
        <v>-30825</v>
      </c>
      <c r="J18" s="81">
        <f>INDEX(SFIX_IS!$A$10:$F$51,MATCH(SFIX_DCF!$B18,SFIX_IS!$A$10:$A$51,0),MATCH(SFIX_DCF!J$7,SFIX_IS!$A$10:$F$10,0))</f>
        <v>-30207</v>
      </c>
      <c r="K18" s="79">
        <f>-K29*K8</f>
        <v>-59054.788499999995</v>
      </c>
      <c r="L18" s="79">
        <f t="shared" ref="L18:O18" si="10">-L29*L8</f>
        <v>-60069.792677343758</v>
      </c>
      <c r="M18" s="79">
        <f t="shared" si="10"/>
        <v>-60498.862625039073</v>
      </c>
      <c r="N18" s="79">
        <f t="shared" si="10"/>
        <v>-59868.66613936158</v>
      </c>
      <c r="O18" s="79">
        <f t="shared" si="10"/>
        <v>-57473.919493787114</v>
      </c>
    </row>
    <row r="19" spans="2:19">
      <c r="B19" s="65" t="s">
        <v>153</v>
      </c>
      <c r="F19" s="79">
        <f>-F66</f>
        <v>0</v>
      </c>
      <c r="G19" s="79">
        <f t="shared" ref="G19:O19" si="11">-G66</f>
        <v>18475</v>
      </c>
      <c r="H19" s="79">
        <f t="shared" si="11"/>
        <v>-24022</v>
      </c>
      <c r="I19" s="79">
        <f t="shared" si="11"/>
        <v>-8307</v>
      </c>
      <c r="J19" s="102">
        <f t="shared" si="11"/>
        <v>-6431</v>
      </c>
      <c r="K19" s="94">
        <f t="shared" si="11"/>
        <v>-17846.464749999999</v>
      </c>
      <c r="L19" s="94">
        <f t="shared" si="11"/>
        <v>-1599.4005218750026</v>
      </c>
      <c r="M19" s="94">
        <f t="shared" si="11"/>
        <v>-2002.3264225781259</v>
      </c>
      <c r="N19" s="94">
        <f t="shared" si="11"/>
        <v>-2520.7859427099611</v>
      </c>
      <c r="O19" s="94">
        <f t="shared" si="11"/>
        <v>-3192.9955274326185</v>
      </c>
    </row>
    <row r="20" spans="2:19">
      <c r="B20" s="66" t="s">
        <v>154</v>
      </c>
      <c r="C20" s="66"/>
      <c r="D20" s="66"/>
      <c r="E20" s="66"/>
      <c r="F20" s="103">
        <f>SUM(F15:F19)</f>
        <v>36477</v>
      </c>
      <c r="G20" s="103">
        <f t="shared" ref="G20:O20" si="12">SUM(G15:G19)</f>
        <v>32695</v>
      </c>
      <c r="H20" s="103">
        <f t="shared" si="12"/>
        <v>2223</v>
      </c>
      <c r="I20" s="103">
        <f t="shared" si="12"/>
        <v>-7179.75</v>
      </c>
      <c r="J20" s="104">
        <f t="shared" si="12"/>
        <v>-52769</v>
      </c>
      <c r="K20" s="82">
        <f t="shared" si="12"/>
        <v>-107905.01721250008</v>
      </c>
      <c r="L20" s="82">
        <f t="shared" si="12"/>
        <v>-57700.296183037237</v>
      </c>
      <c r="M20" s="82">
        <f t="shared" si="12"/>
        <v>-11581.313004876067</v>
      </c>
      <c r="N20" s="82">
        <f t="shared" si="12"/>
        <v>52109.37190945723</v>
      </c>
      <c r="O20" s="82">
        <f t="shared" si="12"/>
        <v>140491.80320703503</v>
      </c>
    </row>
    <row r="21" spans="2:19">
      <c r="C21" s="66"/>
      <c r="D21" s="66"/>
      <c r="E21" s="66"/>
      <c r="F21" s="100"/>
      <c r="G21" s="100"/>
      <c r="H21" s="100"/>
      <c r="I21" s="100"/>
      <c r="J21" s="100"/>
    </row>
    <row r="22" spans="2:19">
      <c r="F22" s="100"/>
    </row>
    <row r="23" spans="2:19">
      <c r="F23" s="70" t="s">
        <v>143</v>
      </c>
      <c r="G23" s="71"/>
      <c r="H23" s="71"/>
      <c r="I23" s="71"/>
      <c r="J23" s="72"/>
      <c r="K23" s="70" t="s">
        <v>144</v>
      </c>
      <c r="L23" s="71"/>
      <c r="M23" s="71"/>
      <c r="N23" s="71"/>
      <c r="O23" s="72"/>
    </row>
    <row r="24" spans="2:19">
      <c r="F24" s="105">
        <f>F7</f>
        <v>2016</v>
      </c>
      <c r="G24" s="106">
        <f t="shared" ref="G24:O24" si="13">F24+1</f>
        <v>2017</v>
      </c>
      <c r="H24" s="106">
        <f t="shared" si="13"/>
        <v>2018</v>
      </c>
      <c r="I24" s="106">
        <f t="shared" si="13"/>
        <v>2019</v>
      </c>
      <c r="J24" s="107">
        <f t="shared" si="13"/>
        <v>2020</v>
      </c>
      <c r="K24" s="106">
        <f t="shared" si="13"/>
        <v>2021</v>
      </c>
      <c r="L24" s="106">
        <f t="shared" si="13"/>
        <v>2022</v>
      </c>
      <c r="M24" s="106">
        <f t="shared" si="13"/>
        <v>2023</v>
      </c>
      <c r="N24" s="106">
        <f t="shared" si="13"/>
        <v>2024</v>
      </c>
      <c r="O24" s="106">
        <f t="shared" si="13"/>
        <v>2025</v>
      </c>
    </row>
    <row r="25" spans="2:19">
      <c r="B25" s="66" t="s">
        <v>155</v>
      </c>
      <c r="C25" s="66"/>
      <c r="E25" s="66"/>
      <c r="F25" s="108"/>
      <c r="G25" s="108"/>
      <c r="H25" s="108"/>
      <c r="I25" s="108"/>
      <c r="J25" s="109"/>
      <c r="K25" s="108"/>
      <c r="L25" s="108"/>
      <c r="M25" s="108"/>
      <c r="N25" s="108"/>
      <c r="O25" s="108"/>
    </row>
    <row r="26" spans="2:19">
      <c r="B26" s="65" t="s">
        <v>156</v>
      </c>
      <c r="F26" s="108"/>
      <c r="G26" s="108">
        <f>G8/F8-1</f>
        <v>0.33797289655257412</v>
      </c>
      <c r="H26" s="108">
        <f t="shared" ref="H26:J26" si="14">H8/G8-1</f>
        <v>0.25520013017595256</v>
      </c>
      <c r="I26" s="108">
        <f t="shared" si="14"/>
        <v>0.28622223309322026</v>
      </c>
      <c r="J26" s="109">
        <f t="shared" si="14"/>
        <v>8.5052340389386583E-2</v>
      </c>
      <c r="K26" s="110">
        <v>0.15</v>
      </c>
      <c r="L26" s="108">
        <f>K26+$S26</f>
        <v>0.16250000000000001</v>
      </c>
      <c r="M26" s="108">
        <f t="shared" ref="M26:O26" si="15">L26+$S26</f>
        <v>0.17500000000000002</v>
      </c>
      <c r="N26" s="108">
        <f t="shared" si="15"/>
        <v>0.18750000000000003</v>
      </c>
      <c r="O26" s="108">
        <f t="shared" si="15"/>
        <v>0.20000000000000004</v>
      </c>
      <c r="Q26" s="108" t="s">
        <v>157</v>
      </c>
      <c r="R26" s="110">
        <v>0.2</v>
      </c>
      <c r="S26" s="111">
        <f>(R26-K26)/($O$24-$K$24)</f>
        <v>1.2500000000000004E-2</v>
      </c>
    </row>
    <row r="27" spans="2:19">
      <c r="B27" s="65" t="s">
        <v>158</v>
      </c>
      <c r="F27" s="108">
        <f>F9/F8</f>
        <v>0.55738293033261077</v>
      </c>
      <c r="G27" s="108">
        <f t="shared" ref="G27:J27" si="16">G9/G8</f>
        <v>0.55541535032375133</v>
      </c>
      <c r="H27" s="108">
        <f t="shared" si="16"/>
        <v>0.56296794550368734</v>
      </c>
      <c r="I27" s="108">
        <f t="shared" si="16"/>
        <v>0.5542927740216208</v>
      </c>
      <c r="J27" s="109">
        <f t="shared" si="16"/>
        <v>0.55938805876851116</v>
      </c>
      <c r="K27" s="110">
        <v>0.55500000000000005</v>
      </c>
      <c r="L27" s="108">
        <f t="shared" ref="L27:O30" si="17">K27+$S27</f>
        <v>0.55375000000000008</v>
      </c>
      <c r="M27" s="108">
        <f t="shared" si="17"/>
        <v>0.5525000000000001</v>
      </c>
      <c r="N27" s="108">
        <f t="shared" si="17"/>
        <v>0.55125000000000013</v>
      </c>
      <c r="O27" s="108">
        <f t="shared" si="17"/>
        <v>0.55000000000000016</v>
      </c>
      <c r="Q27" s="108" t="s">
        <v>157</v>
      </c>
      <c r="R27" s="110">
        <v>0.55000000000000004</v>
      </c>
      <c r="S27" s="111">
        <f t="shared" ref="S27:S30" si="18">(R27-K27)/($O$24-$K$24)</f>
        <v>-1.2500000000000011E-3</v>
      </c>
    </row>
    <row r="28" spans="2:19">
      <c r="B28" s="65" t="s">
        <v>159</v>
      </c>
      <c r="F28" s="108">
        <f>F12/F8</f>
        <v>0.35467121631410092</v>
      </c>
      <c r="G28" s="108">
        <f t="shared" ref="G28:J28" si="19">G12/G8</f>
        <v>0.4122044049004287</v>
      </c>
      <c r="H28" s="108">
        <f t="shared" si="19"/>
        <v>0.40195351833054083</v>
      </c>
      <c r="I28" s="108">
        <f t="shared" si="19"/>
        <v>0.43081395422545476</v>
      </c>
      <c r="J28" s="109">
        <f t="shared" si="19"/>
        <v>0.47079421849085107</v>
      </c>
      <c r="K28" s="110">
        <v>0.5</v>
      </c>
      <c r="L28" s="108">
        <f t="shared" si="17"/>
        <v>0.47499999999999998</v>
      </c>
      <c r="M28" s="108">
        <f t="shared" si="17"/>
        <v>0.44999999999999996</v>
      </c>
      <c r="N28" s="108">
        <f t="shared" si="17"/>
        <v>0.42499999999999993</v>
      </c>
      <c r="O28" s="108">
        <f t="shared" si="17"/>
        <v>0.39999999999999991</v>
      </c>
      <c r="Q28" s="108" t="s">
        <v>157</v>
      </c>
      <c r="R28" s="110">
        <v>0.4</v>
      </c>
      <c r="S28" s="111">
        <f t="shared" si="18"/>
        <v>-2.4999999999999994E-2</v>
      </c>
    </row>
    <row r="29" spans="2:19">
      <c r="B29" s="65" t="s">
        <v>160</v>
      </c>
      <c r="F29" s="108">
        <f>-F18/F8</f>
        <v>2.0865026365407709E-2</v>
      </c>
      <c r="G29" s="108">
        <f t="shared" ref="G29:J29" si="20">-G18/G8</f>
        <v>1.7566589809638138E-2</v>
      </c>
      <c r="H29" s="108">
        <f t="shared" si="20"/>
        <v>1.350585607070497E-2</v>
      </c>
      <c r="I29" s="108">
        <f t="shared" si="20"/>
        <v>1.9539693627746175E-2</v>
      </c>
      <c r="J29" s="109">
        <f t="shared" si="20"/>
        <v>1.7647027895121493E-2</v>
      </c>
      <c r="K29" s="110">
        <v>0.03</v>
      </c>
      <c r="L29" s="108">
        <f t="shared" si="17"/>
        <v>2.6249999999999999E-2</v>
      </c>
      <c r="M29" s="108">
        <f t="shared" si="17"/>
        <v>2.2499999999999999E-2</v>
      </c>
      <c r="N29" s="108">
        <f t="shared" si="17"/>
        <v>1.8749999999999999E-2</v>
      </c>
      <c r="O29" s="108">
        <f t="shared" si="17"/>
        <v>1.4999999999999999E-2</v>
      </c>
      <c r="Q29" s="108" t="s">
        <v>157</v>
      </c>
      <c r="R29" s="110">
        <v>1.4999999999999999E-2</v>
      </c>
      <c r="S29" s="111">
        <f t="shared" si="18"/>
        <v>-3.7499999999999999E-3</v>
      </c>
    </row>
    <row r="30" spans="2:19">
      <c r="B30" s="65" t="s">
        <v>161</v>
      </c>
      <c r="F30" s="108">
        <f>-F17/F18</f>
        <v>0.23257645360283502</v>
      </c>
      <c r="G30" s="108">
        <f t="shared" ref="G30:J30" si="21">-G17/G18</f>
        <v>0.44596562773084764</v>
      </c>
      <c r="H30" s="108">
        <f t="shared" si="21"/>
        <v>0.6364020525203743</v>
      </c>
      <c r="I30" s="108">
        <f t="shared" si="21"/>
        <v>0.46491484184914844</v>
      </c>
      <c r="J30" s="109">
        <f t="shared" si="21"/>
        <v>0.74873373721322867</v>
      </c>
      <c r="K30" s="110">
        <v>0.85</v>
      </c>
      <c r="L30" s="108">
        <f t="shared" si="17"/>
        <v>0.88749999999999996</v>
      </c>
      <c r="M30" s="108">
        <f t="shared" si="17"/>
        <v>0.92499999999999993</v>
      </c>
      <c r="N30" s="108">
        <f t="shared" si="17"/>
        <v>0.96249999999999991</v>
      </c>
      <c r="O30" s="108">
        <f t="shared" si="17"/>
        <v>0.99999999999999989</v>
      </c>
      <c r="Q30" s="108" t="s">
        <v>157</v>
      </c>
      <c r="R30" s="110">
        <v>1</v>
      </c>
      <c r="S30" s="111">
        <f t="shared" si="18"/>
        <v>3.7500000000000006E-2</v>
      </c>
    </row>
    <row r="31" spans="2:19">
      <c r="B31" s="65" t="s">
        <v>162</v>
      </c>
      <c r="F31" s="108">
        <f>F10/F8</f>
        <v>0.44261706966738917</v>
      </c>
      <c r="G31" s="108">
        <f t="shared" ref="G31:J31" si="22">G10/G8</f>
        <v>0.44458464967624872</v>
      </c>
      <c r="H31" s="108">
        <f t="shared" si="22"/>
        <v>0.43703205449631272</v>
      </c>
      <c r="I31" s="108">
        <f t="shared" si="22"/>
        <v>0.44570722597837925</v>
      </c>
      <c r="J31" s="109">
        <f t="shared" si="22"/>
        <v>0.44061194123148878</v>
      </c>
      <c r="K31" s="108"/>
      <c r="L31" s="108"/>
      <c r="M31" s="108"/>
      <c r="N31" s="108"/>
      <c r="O31" s="108"/>
    </row>
    <row r="32" spans="2:19">
      <c r="F32" s="112"/>
      <c r="G32" s="112"/>
      <c r="H32" s="112"/>
      <c r="I32" s="112"/>
      <c r="J32" s="112"/>
      <c r="K32" s="113"/>
      <c r="L32" s="112"/>
      <c r="M32" s="112"/>
      <c r="N32" s="112"/>
      <c r="O32" s="112"/>
    </row>
    <row r="33" spans="1:19">
      <c r="A33" s="65" t="s">
        <v>141</v>
      </c>
      <c r="B33" s="69" t="s">
        <v>163</v>
      </c>
      <c r="C33" s="68"/>
      <c r="D33" s="69"/>
      <c r="E33" s="69"/>
      <c r="F33" s="68"/>
      <c r="G33" s="68"/>
      <c r="H33" s="68"/>
      <c r="I33" s="68"/>
      <c r="J33" s="68"/>
      <c r="K33" s="68"/>
      <c r="L33" s="68"/>
      <c r="M33" s="68"/>
      <c r="N33" s="68"/>
      <c r="O33" s="68"/>
    </row>
    <row r="34" spans="1:19" outlineLevel="1"/>
    <row r="35" spans="1:19" outlineLevel="1">
      <c r="F35" s="114" t="s">
        <v>164</v>
      </c>
      <c r="G35" s="97"/>
      <c r="H35" s="97"/>
      <c r="I35" s="115"/>
      <c r="K35" s="114" t="s">
        <v>165</v>
      </c>
      <c r="L35" s="97"/>
      <c r="M35" s="97"/>
      <c r="N35" s="115"/>
      <c r="P35" s="114" t="s">
        <v>166</v>
      </c>
      <c r="Q35" s="97"/>
      <c r="R35" s="97"/>
      <c r="S35" s="115"/>
    </row>
    <row r="36" spans="1:19" outlineLevel="1">
      <c r="F36" s="116" t="s">
        <v>167</v>
      </c>
      <c r="I36" s="102">
        <f>O20</f>
        <v>140491.80320703503</v>
      </c>
      <c r="K36" s="116" t="s">
        <v>168</v>
      </c>
      <c r="N36" s="102">
        <f>O13+O17</f>
        <v>249053.65113974398</v>
      </c>
      <c r="P36" s="116"/>
      <c r="S36" s="117"/>
    </row>
    <row r="37" spans="1:19" outlineLevel="1">
      <c r="F37" s="116" t="s">
        <v>169</v>
      </c>
      <c r="I37" s="118">
        <v>8.0000000000000002E-3</v>
      </c>
      <c r="K37" s="116" t="s">
        <v>170</v>
      </c>
      <c r="N37" s="119">
        <v>22.82</v>
      </c>
      <c r="P37" s="116" t="s">
        <v>171</v>
      </c>
      <c r="S37" s="120">
        <f>I45</f>
        <v>822145.80487429211</v>
      </c>
    </row>
    <row r="38" spans="1:19" outlineLevel="1">
      <c r="F38" s="116" t="s">
        <v>172</v>
      </c>
      <c r="I38" s="102">
        <f>(I36*(1+I37))/(I39-I37)</f>
        <v>1287721.1246092515</v>
      </c>
      <c r="K38" s="116" t="s">
        <v>172</v>
      </c>
      <c r="N38" s="102">
        <f>N37*N36</f>
        <v>5683404.3190089576</v>
      </c>
      <c r="O38" s="121"/>
      <c r="P38" s="116" t="s">
        <v>173</v>
      </c>
      <c r="S38" s="120">
        <f>I77</f>
        <v>104271.783</v>
      </c>
    </row>
    <row r="39" spans="1:19" outlineLevel="1">
      <c r="F39" s="116" t="s">
        <v>174</v>
      </c>
      <c r="I39" s="122">
        <f>F110</f>
        <v>0.11797391820815509</v>
      </c>
      <c r="K39" s="116" t="s">
        <v>174</v>
      </c>
      <c r="N39" s="122">
        <f>F110</f>
        <v>0.11797391820815509</v>
      </c>
      <c r="O39" s="121"/>
      <c r="P39" s="116" t="s">
        <v>175</v>
      </c>
      <c r="S39" s="123">
        <f ca="1">Option_Value!E30</f>
        <v>11526.446786974695</v>
      </c>
    </row>
    <row r="40" spans="1:19" outlineLevel="1">
      <c r="F40" s="116" t="s">
        <v>176</v>
      </c>
      <c r="I40" s="102">
        <f>I38/(1+I39)^(O24-J24)</f>
        <v>737332.642929708</v>
      </c>
      <c r="K40" s="116" t="s">
        <v>176</v>
      </c>
      <c r="N40" s="102">
        <f>-PV(N39,O24-J24,,N38)</f>
        <v>3254244.6087809447</v>
      </c>
      <c r="P40" s="124" t="s">
        <v>177</v>
      </c>
      <c r="Q40" s="125"/>
      <c r="R40" s="125"/>
      <c r="S40" s="126">
        <f ca="1">(S37-S39)/(S38+I84)</f>
        <v>7.1486262327057153</v>
      </c>
    </row>
    <row r="41" spans="1:19" outlineLevel="1">
      <c r="F41" s="116"/>
      <c r="I41" s="120"/>
      <c r="K41" s="116"/>
      <c r="N41" s="120"/>
    </row>
    <row r="42" spans="1:19" outlineLevel="1">
      <c r="F42" s="116" t="s">
        <v>178</v>
      </c>
      <c r="I42" s="102">
        <f>NPV(I39,K20:O20)</f>
        <v>-37170.838055415938</v>
      </c>
      <c r="K42" s="116" t="s">
        <v>178</v>
      </c>
      <c r="N42" s="102">
        <f>NPV(N39,K20:O20)</f>
        <v>-37170.838055415938</v>
      </c>
      <c r="P42" s="114" t="s">
        <v>179</v>
      </c>
      <c r="Q42" s="97"/>
      <c r="R42" s="97"/>
      <c r="S42" s="115"/>
    </row>
    <row r="43" spans="1:19" outlineLevel="1">
      <c r="F43" s="116" t="s">
        <v>180</v>
      </c>
      <c r="I43" s="102">
        <f>I42+I40</f>
        <v>700161.80487429211</v>
      </c>
      <c r="K43" s="116" t="s">
        <v>180</v>
      </c>
      <c r="N43" s="102">
        <f>N42+N40</f>
        <v>3217073.7707255287</v>
      </c>
      <c r="P43" s="116" t="s">
        <v>101</v>
      </c>
      <c r="S43" s="102">
        <f>I45</f>
        <v>822145.80487429211</v>
      </c>
    </row>
    <row r="44" spans="1:19" outlineLevel="1">
      <c r="F44" s="116" t="s">
        <v>181</v>
      </c>
      <c r="I44" s="81">
        <f>SFIX_BS!B54+SFIX_BS!B39-SFIX_BS!B17-SFIX_BS!B19</f>
        <v>-121984</v>
      </c>
      <c r="K44" s="116" t="s">
        <v>181</v>
      </c>
      <c r="N44" s="81">
        <f>SFIX_BS!B54+SFIX_BS!B39-SFIX_BS!B17-SFIX_BS!B19</f>
        <v>-121984</v>
      </c>
      <c r="P44" s="116" t="s">
        <v>182</v>
      </c>
      <c r="S44" s="102">
        <f>N85</f>
        <v>120212.31999999999</v>
      </c>
    </row>
    <row r="45" spans="1:19" outlineLevel="1">
      <c r="F45" s="116" t="s">
        <v>101</v>
      </c>
      <c r="I45" s="102">
        <f>I43-I44</f>
        <v>822145.80487429211</v>
      </c>
      <c r="K45" s="116" t="s">
        <v>101</v>
      </c>
      <c r="N45" s="102">
        <f>N43-N44</f>
        <v>3339057.7707255287</v>
      </c>
      <c r="P45" s="116" t="s">
        <v>183</v>
      </c>
      <c r="S45" s="102">
        <f>N82</f>
        <v>116574.05160000001</v>
      </c>
    </row>
    <row r="46" spans="1:19" outlineLevel="1">
      <c r="F46" s="116" t="s">
        <v>182</v>
      </c>
      <c r="I46" s="102">
        <f>I85</f>
        <v>115097.195910025</v>
      </c>
      <c r="K46" s="116" t="s">
        <v>182</v>
      </c>
      <c r="N46" s="102">
        <f>I85</f>
        <v>115097.195910025</v>
      </c>
      <c r="P46" s="124" t="s">
        <v>177</v>
      </c>
      <c r="Q46" s="125"/>
      <c r="R46" s="125"/>
      <c r="S46" s="126">
        <f>(S43+S45)/S44</f>
        <v>7.8088490137640818</v>
      </c>
    </row>
    <row r="47" spans="1:19" outlineLevel="1">
      <c r="F47" s="124" t="s">
        <v>177</v>
      </c>
      <c r="G47" s="125"/>
      <c r="H47" s="125"/>
      <c r="I47" s="127">
        <f>I45/I46</f>
        <v>7.1430567736592705</v>
      </c>
      <c r="K47" s="124" t="s">
        <v>177</v>
      </c>
      <c r="L47" s="125"/>
      <c r="M47" s="125"/>
      <c r="N47" s="127">
        <f>N45/N46</f>
        <v>29.010765590986008</v>
      </c>
    </row>
    <row r="48" spans="1:19" outlineLevel="1"/>
    <row r="49" spans="1:15" outlineLevel="1">
      <c r="E49" s="128"/>
    </row>
    <row r="50" spans="1:15" outlineLevel="1">
      <c r="G50" s="129"/>
    </row>
    <row r="51" spans="1:15">
      <c r="A51" s="65" t="s">
        <v>141</v>
      </c>
      <c r="B51" s="69" t="s">
        <v>184</v>
      </c>
      <c r="C51" s="68"/>
      <c r="D51" s="69"/>
      <c r="E51" s="69"/>
      <c r="F51" s="68"/>
      <c r="G51" s="68"/>
      <c r="H51" s="68"/>
      <c r="I51" s="68"/>
      <c r="J51" s="68"/>
      <c r="K51" s="68"/>
      <c r="L51" s="68"/>
      <c r="M51" s="68"/>
      <c r="N51" s="68"/>
      <c r="O51" s="68"/>
    </row>
    <row r="54" spans="1:15">
      <c r="F54" s="70" t="s">
        <v>143</v>
      </c>
      <c r="G54" s="71"/>
      <c r="H54" s="71"/>
      <c r="I54" s="71"/>
      <c r="J54" s="72"/>
      <c r="K54" s="70" t="s">
        <v>144</v>
      </c>
      <c r="L54" s="71"/>
      <c r="M54" s="71"/>
      <c r="N54" s="71"/>
      <c r="O54" s="72"/>
    </row>
    <row r="55" spans="1:15">
      <c r="F55" s="130">
        <f>F7</f>
        <v>2016</v>
      </c>
      <c r="G55" s="106">
        <f t="shared" ref="G55:O55" si="23">F55+1</f>
        <v>2017</v>
      </c>
      <c r="H55" s="106">
        <f t="shared" si="23"/>
        <v>2018</v>
      </c>
      <c r="I55" s="106">
        <f t="shared" si="23"/>
        <v>2019</v>
      </c>
      <c r="J55" s="107">
        <f t="shared" si="23"/>
        <v>2020</v>
      </c>
      <c r="K55" s="106">
        <f t="shared" si="23"/>
        <v>2021</v>
      </c>
      <c r="L55" s="106">
        <f t="shared" si="23"/>
        <v>2022</v>
      </c>
      <c r="M55" s="106">
        <f t="shared" si="23"/>
        <v>2023</v>
      </c>
      <c r="N55" s="106">
        <f t="shared" si="23"/>
        <v>2024</v>
      </c>
      <c r="O55" s="106">
        <f t="shared" si="23"/>
        <v>2025</v>
      </c>
    </row>
    <row r="56" spans="1:15">
      <c r="B56" s="65" t="s">
        <v>185</v>
      </c>
      <c r="F56" s="77">
        <f>INDEX(SFIX_BS!$10:$65,MATCH(SFIX_DCF!$B56,SFIX_BS!$A$10:$A$65,0),MATCH(SFIX_DCF!F$55,SFIX_BS!$A$10:$F$10,0))</f>
        <v>148272</v>
      </c>
      <c r="G56" s="77">
        <f>INDEX(SFIX_BS!$10:$65,MATCH(SFIX_DCF!$B56,SFIX_BS!$A$10:$A$65,0),MATCH(SFIX_DCF!G$55,SFIX_BS!$A$10:$F$10,0))</f>
        <v>197762</v>
      </c>
      <c r="H56" s="77">
        <f>INDEX(SFIX_BS!$10:$65,MATCH(SFIX_DCF!$B56,SFIX_BS!$A$10:$A$65,0),MATCH(SFIX_DCF!H$55,SFIX_BS!$A$10:$F$10,0))</f>
        <v>417006</v>
      </c>
      <c r="I56" s="77">
        <f>INDEX(SFIX_BS!$10:$65,MATCH(SFIX_DCF!$B56,SFIX_BS!$A$10:$A$65,0),MATCH(SFIX_DCF!I$55,SFIX_BS!$A$10:$F$10,0))</f>
        <v>482404</v>
      </c>
      <c r="J56" s="78">
        <f>INDEX(SFIX_BS!$10:$65,MATCH(SFIX_DCF!$B56,SFIX_BS!$A$10:$A$65,0),MATCH(SFIX_DCF!J$55,SFIX_BS!$A$10:$F$10,0))</f>
        <v>466310</v>
      </c>
      <c r="K56" s="131"/>
      <c r="L56" s="131"/>
      <c r="M56" s="131"/>
      <c r="N56" s="131"/>
      <c r="O56" s="131"/>
    </row>
    <row r="57" spans="1:15">
      <c r="B57" s="65" t="s">
        <v>186</v>
      </c>
      <c r="F57" s="80">
        <f>INDEX(SFIX_BS!$10:$65,MATCH(SFIX_DCF!$B57,SFIX_BS!$A$10:$A$65,0),MATCH(SFIX_DCF!F$55,SFIX_BS!$A$10:$F$10,0))</f>
        <v>91488</v>
      </c>
      <c r="G57" s="80">
        <f>INDEX(SFIX_BS!$10:$65,MATCH(SFIX_DCF!$B57,SFIX_BS!$A$10:$A$65,0),MATCH(SFIX_DCF!G$55,SFIX_BS!$A$10:$F$10,0))</f>
        <v>110608</v>
      </c>
      <c r="H57" s="80">
        <f>INDEX(SFIX_BS!$10:$65,MATCH(SFIX_DCF!$B57,SFIX_BS!$A$10:$A$65,0),MATCH(SFIX_DCF!H$55,SFIX_BS!$A$10:$F$10,0))</f>
        <v>297516</v>
      </c>
      <c r="I57" s="80">
        <f>INDEX(SFIX_BS!$10:$65,MATCH(SFIX_DCF!$B57,SFIX_BS!$A$10:$A$65,0),MATCH(SFIX_DCF!I$55,SFIX_BS!$A$10:$F$10,0))</f>
        <v>170932</v>
      </c>
      <c r="J57" s="81">
        <f>INDEX(SFIX_BS!$10:$65,MATCH(SFIX_DCF!$B57,SFIX_BS!$A$10:$A$65,0),MATCH(SFIX_DCF!J$55,SFIX_BS!$A$10:$F$10,0))</f>
        <v>143455</v>
      </c>
    </row>
    <row r="58" spans="1:15">
      <c r="B58" s="65" t="s">
        <v>187</v>
      </c>
      <c r="F58" s="80">
        <f>INDEX(SFIX_BS!$10:$65,MATCH(SFIX_DCF!$B58,SFIX_BS!$A$10:$A$65,0),MATCH(SFIX_DCF!F$55,SFIX_BS!$A$10:$F$10,0))</f>
        <v>0</v>
      </c>
      <c r="G58" s="80">
        <f>INDEX(SFIX_BS!$10:$65,MATCH(SFIX_DCF!$B58,SFIX_BS!$A$10:$A$65,0),MATCH(SFIX_DCF!G$55,SFIX_BS!$A$10:$F$10,0))</f>
        <v>0</v>
      </c>
      <c r="H58" s="80">
        <f>INDEX(SFIX_BS!$10:$65,MATCH(SFIX_DCF!$B58,SFIX_BS!$A$10:$A$65,0),MATCH(SFIX_DCF!H$55,SFIX_BS!$A$10:$F$10,0))</f>
        <v>0</v>
      </c>
      <c r="I58" s="80">
        <f>INDEX(SFIX_BS!$10:$65,MATCH(SFIX_DCF!$B58,SFIX_BS!$A$10:$A$65,0),MATCH(SFIX_DCF!I$55,SFIX_BS!$A$10:$F$10,0))</f>
        <v>143276</v>
      </c>
      <c r="J58" s="81">
        <f>INDEX(SFIX_BS!$10:$65,MATCH(SFIX_DCF!$B58,SFIX_BS!$A$10:$A$65,0),MATCH(SFIX_DCF!J$55,SFIX_BS!$A$10:$F$10,0))</f>
        <v>143037</v>
      </c>
    </row>
    <row r="59" spans="1:15">
      <c r="B59" s="66" t="s">
        <v>188</v>
      </c>
      <c r="F59" s="79">
        <f>F56-F57-F58</f>
        <v>56784</v>
      </c>
      <c r="G59" s="79">
        <f t="shared" ref="G59:J59" si="24">G56-G57-G58</f>
        <v>87154</v>
      </c>
      <c r="H59" s="79">
        <f t="shared" si="24"/>
        <v>119490</v>
      </c>
      <c r="I59" s="79">
        <f t="shared" si="24"/>
        <v>168196</v>
      </c>
      <c r="J59" s="102">
        <f t="shared" si="24"/>
        <v>179818</v>
      </c>
    </row>
    <row r="60" spans="1:15">
      <c r="F60" s="79"/>
      <c r="G60" s="79"/>
      <c r="H60" s="79"/>
      <c r="I60" s="79"/>
      <c r="J60" s="102"/>
    </row>
    <row r="61" spans="1:15">
      <c r="B61" s="65" t="s">
        <v>189</v>
      </c>
      <c r="F61" s="80">
        <f>INDEX(SFIX_BS!$10:$65,MATCH(SFIX_DCF!$B61,SFIX_BS!$A$10:$A$65,0),MATCH(SFIX_DCF!F$55,SFIX_BS!$A$10:$F$10,0))</f>
        <v>85073</v>
      </c>
      <c r="G61" s="80">
        <f>INDEX(SFIX_BS!$10:$65,MATCH(SFIX_DCF!$B61,SFIX_BS!$A$10:$A$65,0),MATCH(SFIX_DCF!G$55,SFIX_BS!$A$10:$F$10,0))</f>
        <v>133918</v>
      </c>
      <c r="H61" s="80">
        <f>INDEX(SFIX_BS!$10:$65,MATCH(SFIX_DCF!$B61,SFIX_BS!$A$10:$A$65,0),MATCH(SFIX_DCF!H$55,SFIX_BS!$A$10:$F$10,0))</f>
        <v>142232</v>
      </c>
      <c r="I61" s="80">
        <f>INDEX(SFIX_BS!$10:$65,MATCH(SFIX_DCF!$B61,SFIX_BS!$A$10:$A$65,0),MATCH(SFIX_DCF!I$55,SFIX_BS!$A$10:$F$10,0))</f>
        <v>182631</v>
      </c>
      <c r="J61" s="81">
        <f>INDEX(SFIX_BS!$10:$65,MATCH(SFIX_DCF!$B61,SFIX_BS!$A$10:$A$65,0),MATCH(SFIX_DCF!J$55,SFIX_BS!$A$10:$F$10,0))</f>
        <v>212155</v>
      </c>
    </row>
    <row r="62" spans="1:15">
      <c r="B62" s="65" t="s">
        <v>190</v>
      </c>
      <c r="F62" s="80">
        <f>INDEX(SFIX_BS!$10:$65,MATCH(SFIX_DCF!$B62,SFIX_BS!$A$10:$A$65,0),MATCH(SFIX_DCF!F$55,SFIX_BS!$A$10:$F$10,0))</f>
        <v>0</v>
      </c>
      <c r="G62" s="80">
        <f>INDEX(SFIX_BS!$10:$65,MATCH(SFIX_DCF!$B62,SFIX_BS!$A$10:$A$65,0),MATCH(SFIX_DCF!G$55,SFIX_BS!$A$10:$F$10,0))</f>
        <v>0</v>
      </c>
      <c r="H62" s="80">
        <f>INDEX(SFIX_BS!$10:$65,MATCH(SFIX_DCF!$B62,SFIX_BS!$A$10:$A$65,0),MATCH(SFIX_DCF!H$55,SFIX_BS!$A$10:$F$10,0))</f>
        <v>0</v>
      </c>
      <c r="I62" s="80">
        <f>INDEX(SFIX_BS!$10:$65,MATCH(SFIX_DCF!$B62,SFIX_BS!$A$10:$A$65,0),MATCH(SFIX_DCF!I$55,SFIX_BS!$A$10:$F$10,0))</f>
        <v>0</v>
      </c>
      <c r="J62" s="81">
        <f>INDEX(SFIX_BS!$10:$65,MATCH(SFIX_DCF!$B62,SFIX_BS!$A$10:$A$65,0),MATCH(SFIX_DCF!J$55,SFIX_BS!$A$10:$F$10,0))</f>
        <v>24333</v>
      </c>
    </row>
    <row r="63" spans="1:15">
      <c r="B63" s="66" t="s">
        <v>191</v>
      </c>
      <c r="F63" s="79">
        <f>F61-F62</f>
        <v>85073</v>
      </c>
      <c r="G63" s="79">
        <f t="shared" ref="G63:J63" si="25">G61-G62</f>
        <v>133918</v>
      </c>
      <c r="H63" s="79">
        <f t="shared" si="25"/>
        <v>142232</v>
      </c>
      <c r="I63" s="79">
        <f t="shared" si="25"/>
        <v>182631</v>
      </c>
      <c r="J63" s="102">
        <f t="shared" si="25"/>
        <v>187822</v>
      </c>
      <c r="K63" s="79"/>
      <c r="L63" s="79"/>
      <c r="M63" s="79"/>
      <c r="N63" s="79"/>
      <c r="O63" s="79"/>
    </row>
    <row r="64" spans="1:15">
      <c r="F64" s="79"/>
      <c r="G64" s="79"/>
      <c r="H64" s="79"/>
      <c r="I64" s="79"/>
      <c r="J64" s="102"/>
      <c r="K64" s="79"/>
      <c r="L64" s="79"/>
      <c r="M64" s="79"/>
      <c r="N64" s="79"/>
      <c r="O64" s="79"/>
    </row>
    <row r="65" spans="1:15">
      <c r="B65" s="66" t="s">
        <v>192</v>
      </c>
      <c r="F65" s="79">
        <f>F59-F63</f>
        <v>-28289</v>
      </c>
      <c r="G65" s="79">
        <f t="shared" ref="G65:J65" si="26">G59-G63</f>
        <v>-46764</v>
      </c>
      <c r="H65" s="79">
        <f t="shared" si="26"/>
        <v>-22742</v>
      </c>
      <c r="I65" s="79">
        <f t="shared" si="26"/>
        <v>-14435</v>
      </c>
      <c r="J65" s="102">
        <f t="shared" si="26"/>
        <v>-8004</v>
      </c>
      <c r="K65" s="79">
        <f>K8*K71</f>
        <v>9842.4647499999992</v>
      </c>
      <c r="L65" s="79">
        <f>L8*L71</f>
        <v>11441.865271875002</v>
      </c>
      <c r="M65" s="79">
        <f>M8*M71</f>
        <v>13444.191694453128</v>
      </c>
      <c r="N65" s="79">
        <f>N8*N71</f>
        <v>15964.977637163089</v>
      </c>
      <c r="O65" s="79">
        <f>O8*O71</f>
        <v>19157.973164595707</v>
      </c>
    </row>
    <row r="66" spans="1:15">
      <c r="B66" s="66" t="s">
        <v>193</v>
      </c>
      <c r="F66" s="131"/>
      <c r="G66" s="131">
        <f>G65-F65</f>
        <v>-18475</v>
      </c>
      <c r="H66" s="131">
        <f t="shared" ref="H66:O66" si="27">H65-G65</f>
        <v>24022</v>
      </c>
      <c r="I66" s="131">
        <f t="shared" si="27"/>
        <v>8307</v>
      </c>
      <c r="J66" s="132">
        <f t="shared" si="27"/>
        <v>6431</v>
      </c>
      <c r="K66" s="131">
        <f t="shared" si="27"/>
        <v>17846.464749999999</v>
      </c>
      <c r="L66" s="131">
        <f t="shared" si="27"/>
        <v>1599.4005218750026</v>
      </c>
      <c r="M66" s="131">
        <f t="shared" si="27"/>
        <v>2002.3264225781259</v>
      </c>
      <c r="N66" s="131">
        <f t="shared" si="27"/>
        <v>2520.7859427099611</v>
      </c>
      <c r="O66" s="131">
        <f t="shared" si="27"/>
        <v>3192.9955274326185</v>
      </c>
    </row>
    <row r="69" spans="1:15">
      <c r="F69" s="70" t="s">
        <v>143</v>
      </c>
      <c r="G69" s="71"/>
      <c r="H69" s="71"/>
      <c r="I69" s="71"/>
      <c r="J69" s="72"/>
      <c r="K69" s="70" t="s">
        <v>144</v>
      </c>
      <c r="L69" s="71"/>
      <c r="M69" s="71"/>
      <c r="N69" s="71"/>
      <c r="O69" s="72"/>
    </row>
    <row r="70" spans="1:15">
      <c r="F70" s="130">
        <f>F55</f>
        <v>2016</v>
      </c>
      <c r="G70" s="106">
        <f t="shared" ref="G70:O70" si="28">F70+1</f>
        <v>2017</v>
      </c>
      <c r="H70" s="106">
        <f t="shared" si="28"/>
        <v>2018</v>
      </c>
      <c r="I70" s="106">
        <f t="shared" si="28"/>
        <v>2019</v>
      </c>
      <c r="J70" s="107">
        <f t="shared" si="28"/>
        <v>2020</v>
      </c>
      <c r="K70" s="106">
        <f t="shared" si="28"/>
        <v>2021</v>
      </c>
      <c r="L70" s="106">
        <f t="shared" si="28"/>
        <v>2022</v>
      </c>
      <c r="M70" s="106">
        <f t="shared" si="28"/>
        <v>2023</v>
      </c>
      <c r="N70" s="106">
        <f t="shared" si="28"/>
        <v>2024</v>
      </c>
      <c r="O70" s="106">
        <f t="shared" si="28"/>
        <v>2025</v>
      </c>
    </row>
    <row r="71" spans="1:15">
      <c r="B71" s="65" t="s">
        <v>194</v>
      </c>
      <c r="F71" s="108">
        <f>F65/F8</f>
        <v>-3.8735446308637532E-2</v>
      </c>
      <c r="G71" s="108">
        <f>G65/G8</f>
        <v>-4.7858083650330202E-2</v>
      </c>
      <c r="H71" s="108">
        <f>H65/H8</f>
        <v>-1.8542117643222E-2</v>
      </c>
      <c r="I71" s="108">
        <f>I65/I8</f>
        <v>-9.1502182487109823E-3</v>
      </c>
      <c r="J71" s="108">
        <f>J65/J8</f>
        <v>-4.6759628984193212E-3</v>
      </c>
      <c r="K71" s="110">
        <v>5.0000000000000001E-3</v>
      </c>
      <c r="L71" s="108">
        <f>K71</f>
        <v>5.0000000000000001E-3</v>
      </c>
      <c r="M71" s="108">
        <f t="shared" ref="M71:O71" si="29">L71</f>
        <v>5.0000000000000001E-3</v>
      </c>
      <c r="N71" s="108">
        <f t="shared" si="29"/>
        <v>5.0000000000000001E-3</v>
      </c>
      <c r="O71" s="108">
        <f t="shared" si="29"/>
        <v>5.0000000000000001E-3</v>
      </c>
    </row>
    <row r="73" spans="1:15">
      <c r="A73" s="65" t="s">
        <v>141</v>
      </c>
      <c r="B73" s="69" t="s">
        <v>195</v>
      </c>
      <c r="C73" s="68"/>
      <c r="D73" s="69"/>
      <c r="E73" s="69"/>
      <c r="F73" s="68"/>
      <c r="G73" s="68"/>
      <c r="H73" s="68"/>
      <c r="I73" s="68"/>
      <c r="J73" s="68"/>
      <c r="K73" s="68"/>
      <c r="L73" s="68"/>
      <c r="M73" s="68"/>
      <c r="N73" s="68"/>
      <c r="O73" s="68"/>
    </row>
    <row r="74" spans="1:15" outlineLevel="1"/>
    <row r="75" spans="1:15" outlineLevel="1"/>
    <row r="76" spans="1:15" outlineLevel="1">
      <c r="B76" s="133"/>
      <c r="C76" s="133"/>
      <c r="D76" s="133"/>
      <c r="E76" s="133"/>
      <c r="F76" s="114" t="s">
        <v>196</v>
      </c>
      <c r="G76" s="97"/>
      <c r="H76" s="97"/>
      <c r="I76" s="115"/>
      <c r="J76" s="133"/>
      <c r="K76" s="114" t="s">
        <v>197</v>
      </c>
      <c r="L76" s="97"/>
      <c r="M76" s="97"/>
      <c r="N76" s="115"/>
      <c r="O76" s="133"/>
    </row>
    <row r="77" spans="1:15" outlineLevel="1">
      <c r="F77" s="116" t="s">
        <v>198</v>
      </c>
      <c r="I77" s="134">
        <f>59222.368+45049.415</f>
        <v>104271.783</v>
      </c>
      <c r="K77" s="116" t="s">
        <v>198</v>
      </c>
      <c r="N77" s="135">
        <f>I77</f>
        <v>104271.783</v>
      </c>
    </row>
    <row r="78" spans="1:15" outlineLevel="1">
      <c r="F78" s="116" t="s">
        <v>199</v>
      </c>
      <c r="I78" s="134">
        <v>2703.6439999999998</v>
      </c>
      <c r="K78" s="116" t="s">
        <v>200</v>
      </c>
      <c r="N78" s="134">
        <v>6817.1959999999999</v>
      </c>
    </row>
    <row r="79" spans="1:15" outlineLevel="1">
      <c r="F79" s="116" t="s">
        <v>201</v>
      </c>
      <c r="I79" s="136">
        <v>13.34</v>
      </c>
      <c r="K79" s="116" t="s">
        <v>201</v>
      </c>
      <c r="N79" s="136">
        <v>17.100000000000001</v>
      </c>
    </row>
    <row r="80" spans="1:15" outlineLevel="1">
      <c r="F80" s="116" t="s">
        <v>202</v>
      </c>
      <c r="I80" s="136">
        <v>36.01</v>
      </c>
      <c r="K80" s="116"/>
      <c r="N80" s="137"/>
    </row>
    <row r="81" spans="1:15" outlineLevel="1">
      <c r="F81" s="116" t="s">
        <v>203</v>
      </c>
      <c r="I81" s="135">
        <f>IF(I80&gt;I79,I78,0)</f>
        <v>2703.6439999999998</v>
      </c>
      <c r="K81" s="116"/>
      <c r="N81" s="137"/>
    </row>
    <row r="82" spans="1:15" outlineLevel="1">
      <c r="F82" s="116" t="s">
        <v>204</v>
      </c>
      <c r="I82" s="135">
        <f>I81*I79</f>
        <v>36066.610959999998</v>
      </c>
      <c r="K82" s="116" t="s">
        <v>204</v>
      </c>
      <c r="N82" s="135">
        <f>N79*N78</f>
        <v>116574.05160000001</v>
      </c>
    </row>
    <row r="83" spans="1:15" outlineLevel="1">
      <c r="F83" s="116" t="s">
        <v>205</v>
      </c>
      <c r="I83" s="135">
        <f>I82/I80</f>
        <v>1001.572089975007</v>
      </c>
      <c r="K83" s="116"/>
      <c r="N83" s="135"/>
    </row>
    <row r="84" spans="1:15" outlineLevel="1">
      <c r="F84" s="116" t="s">
        <v>206</v>
      </c>
      <c r="I84" s="134">
        <v>9123.3410000000003</v>
      </c>
      <c r="K84" s="116" t="s">
        <v>206</v>
      </c>
      <c r="N84" s="135">
        <f>I84</f>
        <v>9123.3410000000003</v>
      </c>
    </row>
    <row r="85" spans="1:15" outlineLevel="1">
      <c r="F85" s="116" t="s">
        <v>100</v>
      </c>
      <c r="I85" s="135">
        <f>I77+I81-I83+I84</f>
        <v>115097.195910025</v>
      </c>
      <c r="K85" s="116" t="s">
        <v>100</v>
      </c>
      <c r="N85" s="135">
        <f>N77+N78+N84</f>
        <v>120212.31999999999</v>
      </c>
    </row>
    <row r="86" spans="1:15" outlineLevel="1">
      <c r="F86" s="124"/>
      <c r="G86" s="125"/>
      <c r="H86" s="125"/>
      <c r="I86" s="127"/>
      <c r="K86" s="124"/>
      <c r="L86" s="125"/>
      <c r="M86" s="125"/>
      <c r="N86" s="127"/>
    </row>
    <row r="87" spans="1:15" outlineLevel="1"/>
    <row r="88" spans="1:15">
      <c r="A88" s="65" t="s">
        <v>141</v>
      </c>
      <c r="B88" s="69" t="s">
        <v>207</v>
      </c>
      <c r="C88" s="68"/>
      <c r="D88" s="69"/>
      <c r="E88" s="69"/>
      <c r="F88" s="68"/>
      <c r="G88" s="68"/>
      <c r="H88" s="68"/>
      <c r="I88" s="68"/>
      <c r="J88" s="68"/>
      <c r="K88" s="68"/>
      <c r="L88" s="68"/>
      <c r="M88" s="68"/>
      <c r="N88" s="68"/>
      <c r="O88" s="68"/>
    </row>
    <row r="89" spans="1:15">
      <c r="B89" s="138"/>
      <c r="C89" s="139"/>
      <c r="D89" s="138"/>
      <c r="E89" s="138"/>
      <c r="F89" s="139"/>
      <c r="G89" s="139"/>
      <c r="H89" s="139"/>
      <c r="I89" s="139"/>
      <c r="J89" s="139"/>
      <c r="K89" s="139"/>
      <c r="L89" s="139"/>
      <c r="M89" s="139"/>
      <c r="N89" s="139"/>
      <c r="O89" s="139"/>
    </row>
    <row r="90" spans="1:15">
      <c r="F90" s="66" t="s">
        <v>208</v>
      </c>
      <c r="G90" s="66"/>
    </row>
    <row r="91" spans="1:15">
      <c r="B91" s="140" t="s">
        <v>209</v>
      </c>
      <c r="F91" s="141"/>
      <c r="G91" s="141"/>
      <c r="H91" s="141"/>
      <c r="I91" s="141"/>
      <c r="J91" s="141"/>
      <c r="K91" s="141"/>
      <c r="L91" s="141"/>
    </row>
    <row r="92" spans="1:15">
      <c r="B92" s="49" t="s">
        <v>210</v>
      </c>
      <c r="F92" s="131">
        <f>SFIX_BS!B39+SFIX_BS!B54</f>
        <v>164508</v>
      </c>
      <c r="G92" s="141"/>
      <c r="H92" s="141"/>
      <c r="I92" s="141"/>
      <c r="J92" s="141"/>
      <c r="K92" s="141"/>
      <c r="L92" s="141"/>
    </row>
    <row r="93" spans="1:15">
      <c r="B93" s="49" t="s">
        <v>82</v>
      </c>
      <c r="F93" s="142">
        <v>36.01</v>
      </c>
      <c r="G93" s="141"/>
      <c r="H93" s="141"/>
      <c r="I93" s="141"/>
      <c r="J93" s="141"/>
      <c r="K93" s="141"/>
      <c r="L93" s="141"/>
    </row>
    <row r="94" spans="1:15">
      <c r="B94" s="65" t="s">
        <v>100</v>
      </c>
      <c r="F94" s="143">
        <f>I85</f>
        <v>115097.195910025</v>
      </c>
      <c r="G94" s="141"/>
      <c r="H94" s="141"/>
      <c r="I94" s="141"/>
      <c r="J94" s="141"/>
      <c r="K94" s="141"/>
      <c r="L94" s="141"/>
    </row>
    <row r="95" spans="1:15">
      <c r="B95" s="49" t="s">
        <v>211</v>
      </c>
      <c r="F95" s="131">
        <f>F94*F93</f>
        <v>4144650.0247199996</v>
      </c>
      <c r="G95" s="141"/>
      <c r="H95" s="141"/>
      <c r="I95" s="141"/>
      <c r="J95" s="141"/>
      <c r="K95" s="141"/>
      <c r="L95" s="141"/>
    </row>
    <row r="96" spans="1:15">
      <c r="B96" s="3"/>
      <c r="F96" s="141"/>
      <c r="G96" s="141"/>
      <c r="H96" s="141"/>
      <c r="I96" s="141"/>
      <c r="J96" s="141"/>
      <c r="K96" s="141"/>
      <c r="L96" s="141"/>
    </row>
    <row r="97" spans="1:15">
      <c r="B97" s="49" t="s">
        <v>212</v>
      </c>
      <c r="F97" s="108">
        <f>F92/(F92+F95)</f>
        <v>3.8176367414766453E-2</v>
      </c>
      <c r="G97" s="144"/>
      <c r="H97" s="141"/>
      <c r="I97" s="141"/>
      <c r="J97" s="141"/>
      <c r="K97" s="141"/>
      <c r="L97" s="141"/>
    </row>
    <row r="98" spans="1:15">
      <c r="B98" s="49" t="s">
        <v>213</v>
      </c>
      <c r="F98" s="108">
        <f>F95/(F95+F92)</f>
        <v>0.9618236325852334</v>
      </c>
      <c r="G98" s="144"/>
      <c r="H98" s="141"/>
      <c r="I98" s="141"/>
      <c r="J98" s="141"/>
      <c r="K98" s="141"/>
      <c r="L98" s="141"/>
    </row>
    <row r="99" spans="1:15">
      <c r="B99" s="3"/>
      <c r="F99" s="145"/>
      <c r="G99" s="141"/>
      <c r="H99" s="141"/>
      <c r="I99" s="141"/>
      <c r="J99" s="141"/>
      <c r="K99" s="141"/>
      <c r="L99" s="141"/>
    </row>
    <row r="100" spans="1:15">
      <c r="B100" s="140" t="s">
        <v>214</v>
      </c>
      <c r="F100" s="141"/>
      <c r="G100" s="141"/>
      <c r="H100" s="141"/>
      <c r="I100" s="141"/>
      <c r="J100" s="141"/>
      <c r="K100" s="141"/>
      <c r="L100" s="141"/>
    </row>
    <row r="101" spans="1:15">
      <c r="B101" s="49" t="s">
        <v>215</v>
      </c>
      <c r="F101" s="146">
        <v>4.8000000000000001E-2</v>
      </c>
      <c r="G101" s="141"/>
      <c r="H101" s="141"/>
      <c r="I101" s="141"/>
      <c r="J101" s="141"/>
      <c r="K101" s="141"/>
      <c r="L101" s="141"/>
    </row>
    <row r="102" spans="1:15">
      <c r="B102" s="49" t="s">
        <v>216</v>
      </c>
      <c r="F102" s="146">
        <v>0.25</v>
      </c>
      <c r="G102" s="141"/>
      <c r="H102" s="141"/>
      <c r="I102" s="141"/>
      <c r="J102" s="141"/>
      <c r="K102" s="141"/>
      <c r="L102" s="141"/>
    </row>
    <row r="103" spans="1:15">
      <c r="B103" s="3"/>
      <c r="F103" s="141"/>
      <c r="G103" s="141"/>
      <c r="H103" s="141"/>
      <c r="I103" s="141"/>
      <c r="J103" s="141"/>
      <c r="K103" s="141"/>
      <c r="L103" s="141"/>
    </row>
    <row r="104" spans="1:15">
      <c r="B104" s="140" t="s">
        <v>217</v>
      </c>
      <c r="F104" s="141"/>
      <c r="G104" s="141"/>
      <c r="H104" s="141"/>
      <c r="I104" s="141"/>
      <c r="J104" s="141"/>
      <c r="K104" s="141"/>
      <c r="L104" s="141"/>
    </row>
    <row r="105" spans="1:15">
      <c r="B105" s="49" t="s">
        <v>218</v>
      </c>
      <c r="F105" s="146">
        <v>8.1099999999999992E-3</v>
      </c>
      <c r="G105" s="141"/>
      <c r="H105" s="141"/>
      <c r="I105" s="141"/>
      <c r="J105" s="141"/>
      <c r="K105" s="141"/>
      <c r="L105" s="141"/>
    </row>
    <row r="106" spans="1:15">
      <c r="B106" s="49" t="s">
        <v>219</v>
      </c>
      <c r="F106" s="146">
        <v>5.2900000000000003E-2</v>
      </c>
      <c r="G106" s="141"/>
      <c r="H106" s="141"/>
      <c r="I106" s="141"/>
      <c r="J106" s="141"/>
      <c r="K106" s="141"/>
      <c r="L106" s="141"/>
    </row>
    <row r="107" spans="1:15">
      <c r="B107" s="49" t="s">
        <v>220</v>
      </c>
      <c r="F107" s="147">
        <f>D128</f>
        <v>2.1383288906487494</v>
      </c>
      <c r="G107" s="141"/>
      <c r="H107" s="141"/>
      <c r="I107" s="141"/>
      <c r="J107" s="141"/>
      <c r="K107" s="141"/>
      <c r="L107" s="141"/>
    </row>
    <row r="108" spans="1:15">
      <c r="B108" s="140" t="s">
        <v>217</v>
      </c>
      <c r="F108" s="108">
        <f>F105+F106*F107</f>
        <v>0.12122759831531885</v>
      </c>
      <c r="G108" s="141"/>
      <c r="H108" s="141"/>
      <c r="I108" s="141"/>
      <c r="J108" s="141"/>
      <c r="K108" s="141"/>
      <c r="L108" s="141"/>
    </row>
    <row r="109" spans="1:15">
      <c r="B109" s="3"/>
      <c r="F109" s="141"/>
      <c r="G109" s="141"/>
      <c r="H109" s="141"/>
      <c r="I109" s="141"/>
      <c r="J109" s="141"/>
      <c r="K109" s="141"/>
      <c r="L109" s="141"/>
    </row>
    <row r="110" spans="1:15">
      <c r="B110" s="140" t="s">
        <v>221</v>
      </c>
      <c r="F110" s="108">
        <f>F108*F98+F101*F97*(1-F102)</f>
        <v>0.11797391820815509</v>
      </c>
      <c r="G110" s="141"/>
      <c r="H110" s="141"/>
      <c r="I110" s="141"/>
      <c r="J110" s="141"/>
      <c r="K110" s="141"/>
      <c r="L110" s="141"/>
    </row>
    <row r="112" spans="1:15">
      <c r="A112" s="65" t="s">
        <v>141</v>
      </c>
      <c r="B112" s="69" t="s">
        <v>222</v>
      </c>
      <c r="C112" s="68"/>
      <c r="D112" s="69"/>
      <c r="E112" s="69"/>
      <c r="F112" s="68"/>
      <c r="G112" s="68"/>
      <c r="H112" s="68"/>
      <c r="I112" s="68"/>
      <c r="J112" s="68"/>
      <c r="K112" s="68"/>
      <c r="L112" s="68"/>
      <c r="M112" s="68"/>
      <c r="N112" s="68"/>
      <c r="O112" s="68"/>
    </row>
    <row r="113" spans="2:13">
      <c r="B113" s="49"/>
      <c r="C113" s="49"/>
      <c r="D113" s="49"/>
      <c r="E113" s="49"/>
      <c r="F113" s="49"/>
      <c r="G113" s="49"/>
      <c r="H113" s="49"/>
      <c r="I113" s="49"/>
      <c r="J113" s="49"/>
      <c r="K113" s="49"/>
      <c r="L113" s="49"/>
      <c r="M113" s="49"/>
    </row>
    <row r="114" spans="2:13">
      <c r="B114" s="49"/>
      <c r="C114" s="49"/>
      <c r="D114" s="49"/>
      <c r="E114" s="49"/>
      <c r="F114" s="49"/>
      <c r="G114" s="49"/>
      <c r="H114" s="49"/>
      <c r="I114" s="49"/>
      <c r="J114" s="49"/>
      <c r="K114" s="49"/>
      <c r="L114" s="49"/>
      <c r="M114" s="49"/>
    </row>
    <row r="115" spans="2:13">
      <c r="B115" s="49"/>
      <c r="C115" s="49"/>
      <c r="D115" s="49"/>
      <c r="E115" s="148" t="s">
        <v>223</v>
      </c>
      <c r="F115" s="148" t="s">
        <v>224</v>
      </c>
      <c r="G115" s="149" t="s">
        <v>225</v>
      </c>
      <c r="H115" s="149" t="s">
        <v>226</v>
      </c>
      <c r="I115" s="149" t="s">
        <v>227</v>
      </c>
      <c r="J115" s="49"/>
      <c r="K115" s="149" t="s">
        <v>228</v>
      </c>
    </row>
    <row r="116" spans="2:13" ht="14.5" thickBot="1">
      <c r="B116" s="150" t="s">
        <v>80</v>
      </c>
      <c r="C116" s="151"/>
      <c r="D116" s="152"/>
      <c r="E116" s="152" t="s">
        <v>90</v>
      </c>
      <c r="F116" s="152" t="s">
        <v>229</v>
      </c>
      <c r="G116" s="152" t="s">
        <v>90</v>
      </c>
      <c r="H116" s="152" t="s">
        <v>220</v>
      </c>
      <c r="I116" s="152" t="s">
        <v>220</v>
      </c>
      <c r="J116" s="49"/>
      <c r="K116" s="152" t="s">
        <v>230</v>
      </c>
    </row>
    <row r="117" spans="2:13">
      <c r="B117" s="49" t="s">
        <v>231</v>
      </c>
      <c r="C117" s="49"/>
      <c r="D117" s="49" t="s">
        <v>46</v>
      </c>
      <c r="E117" s="153">
        <v>2905000</v>
      </c>
      <c r="F117" s="153">
        <f>4785+42948+20791</f>
        <v>68524</v>
      </c>
      <c r="G117" s="154">
        <f>F117/E117</f>
        <v>2.3588296041308091E-2</v>
      </c>
      <c r="H117" s="155">
        <v>4.45</v>
      </c>
      <c r="I117" s="154">
        <f>H117/(1+(G117*(1-K117)))</f>
        <v>4.3726426087465367</v>
      </c>
      <c r="J117" s="49"/>
      <c r="K117" s="156">
        <v>0.25</v>
      </c>
    </row>
    <row r="118" spans="2:13">
      <c r="B118" s="49" t="s">
        <v>117</v>
      </c>
      <c r="C118" s="49"/>
      <c r="D118" s="49" t="s">
        <v>37</v>
      </c>
      <c r="E118" s="153">
        <v>16843000</v>
      </c>
      <c r="F118" s="157">
        <f>803227+49258+8073</f>
        <v>860558</v>
      </c>
      <c r="G118" s="154">
        <f t="shared" ref="G118:G121" si="30">F118/E118</f>
        <v>5.1092916938787626E-2</v>
      </c>
      <c r="H118" s="155">
        <v>1.35</v>
      </c>
      <c r="I118" s="154">
        <f t="shared" ref="I118:I121" si="31">H118/(1+(G118*(1-K118)))</f>
        <v>1.3001776003930829</v>
      </c>
      <c r="J118" s="49"/>
      <c r="K118" s="145">
        <f>K117</f>
        <v>0.25</v>
      </c>
    </row>
    <row r="119" spans="2:13">
      <c r="B119" s="49" t="s">
        <v>122</v>
      </c>
      <c r="C119" s="49"/>
      <c r="D119" s="49" t="s">
        <v>43</v>
      </c>
      <c r="E119" s="153">
        <v>9231000</v>
      </c>
      <c r="F119" s="157">
        <f>129786+459874+20018</f>
        <v>609678</v>
      </c>
      <c r="G119" s="154">
        <f t="shared" si="30"/>
        <v>6.6046798830029244E-2</v>
      </c>
      <c r="H119" s="155">
        <v>2.97</v>
      </c>
      <c r="I119" s="154">
        <f t="shared" si="31"/>
        <v>2.829824369364216</v>
      </c>
      <c r="J119" s="49"/>
      <c r="K119" s="145">
        <f t="shared" ref="K119:K121" si="32">K118</f>
        <v>0.25</v>
      </c>
    </row>
    <row r="120" spans="2:13">
      <c r="B120" s="49" t="s">
        <v>232</v>
      </c>
      <c r="C120" s="49"/>
      <c r="D120" s="49" t="s">
        <v>233</v>
      </c>
      <c r="E120" s="153">
        <v>42417000</v>
      </c>
      <c r="F120" s="157">
        <f>632646+147941</f>
        <v>780587</v>
      </c>
      <c r="G120" s="154">
        <f t="shared" si="30"/>
        <v>1.840269231675979E-2</v>
      </c>
      <c r="H120" s="155">
        <v>1.1200000000000001</v>
      </c>
      <c r="I120" s="154">
        <f t="shared" si="31"/>
        <v>1.1047521890342027</v>
      </c>
      <c r="J120" s="49"/>
      <c r="K120" s="145">
        <f t="shared" si="32"/>
        <v>0.25</v>
      </c>
    </row>
    <row r="121" spans="2:13">
      <c r="B121" s="49" t="s">
        <v>234</v>
      </c>
      <c r="C121" s="49"/>
      <c r="D121" s="49" t="s">
        <v>235</v>
      </c>
      <c r="E121" s="153">
        <v>508985</v>
      </c>
      <c r="F121" s="157">
        <f>10411+1664+2500+589+101506+36934+77000+27512</f>
        <v>258116</v>
      </c>
      <c r="G121" s="154">
        <f t="shared" si="30"/>
        <v>0.50711907030659054</v>
      </c>
      <c r="H121" s="155">
        <v>1.07</v>
      </c>
      <c r="I121" s="154">
        <f t="shared" si="31"/>
        <v>0.77517172617183727</v>
      </c>
      <c r="J121" s="49"/>
      <c r="K121" s="145">
        <f t="shared" si="32"/>
        <v>0.25</v>
      </c>
    </row>
    <row r="122" spans="2:13">
      <c r="B122" s="49"/>
      <c r="C122" s="49"/>
      <c r="D122" s="49"/>
      <c r="E122" s="158"/>
      <c r="F122" s="159"/>
      <c r="G122" s="160"/>
      <c r="H122" s="155"/>
      <c r="I122" s="154"/>
      <c r="J122" s="49"/>
      <c r="K122" s="145"/>
    </row>
    <row r="123" spans="2:13">
      <c r="B123" s="49"/>
      <c r="C123" s="49"/>
      <c r="D123" s="49"/>
      <c r="E123" s="49"/>
      <c r="F123" s="49"/>
      <c r="G123" s="49"/>
      <c r="H123" s="49"/>
      <c r="I123" s="49"/>
      <c r="J123" s="49"/>
      <c r="K123" s="49"/>
      <c r="L123" s="49"/>
      <c r="M123" s="49"/>
    </row>
    <row r="124" spans="2:13">
      <c r="B124" s="49" t="s">
        <v>236</v>
      </c>
      <c r="C124" s="154"/>
      <c r="D124" s="154">
        <f>AVERAGE(I117:I121)</f>
        <v>2.0765136987419752</v>
      </c>
      <c r="E124" s="49"/>
      <c r="F124" s="49"/>
      <c r="G124" s="49"/>
      <c r="H124" s="49"/>
      <c r="I124" s="154"/>
      <c r="J124" s="49"/>
      <c r="K124" s="154"/>
      <c r="L124" s="49"/>
      <c r="M124" s="49"/>
    </row>
    <row r="125" spans="2:13">
      <c r="B125" s="49" t="s">
        <v>237</v>
      </c>
      <c r="C125" s="3"/>
      <c r="D125" s="161">
        <v>1.1200000000000001</v>
      </c>
      <c r="E125" s="49"/>
      <c r="F125" s="49"/>
      <c r="G125" s="49"/>
      <c r="H125" s="49"/>
      <c r="I125" s="154"/>
      <c r="J125" s="49"/>
      <c r="K125" s="154"/>
      <c r="L125" s="49"/>
      <c r="M125" s="49"/>
    </row>
    <row r="126" spans="2:13">
      <c r="B126" s="49" t="s">
        <v>238</v>
      </c>
      <c r="C126" s="49"/>
      <c r="D126" s="154">
        <f>F92/F95</f>
        <v>3.9691650445471252E-2</v>
      </c>
      <c r="E126" s="49"/>
      <c r="F126" s="49"/>
      <c r="G126" s="49"/>
      <c r="H126" s="49"/>
      <c r="I126" s="162"/>
      <c r="J126" s="49"/>
      <c r="K126" s="163"/>
      <c r="L126" s="49"/>
      <c r="M126" s="49"/>
    </row>
    <row r="127" spans="2:13">
      <c r="B127" s="49" t="s">
        <v>239</v>
      </c>
      <c r="C127" s="163"/>
      <c r="D127" s="145">
        <f>K117</f>
        <v>0.25</v>
      </c>
      <c r="E127" s="49"/>
      <c r="F127" s="49"/>
      <c r="G127" s="49"/>
      <c r="H127" s="49"/>
      <c r="I127" s="145"/>
      <c r="J127" s="49"/>
      <c r="L127" s="49"/>
      <c r="M127" s="49"/>
    </row>
    <row r="128" spans="2:13">
      <c r="B128" s="140" t="s">
        <v>240</v>
      </c>
      <c r="C128" s="49"/>
      <c r="D128" s="154">
        <f>D124*(1+(D126*(1-D127)))</f>
        <v>2.1383288906487494</v>
      </c>
      <c r="E128" s="49"/>
      <c r="F128" s="49"/>
      <c r="G128" s="49"/>
      <c r="H128" s="49"/>
      <c r="I128" s="154"/>
      <c r="J128" s="49"/>
      <c r="K128" s="164"/>
      <c r="L128" s="49"/>
      <c r="M128" s="49"/>
    </row>
    <row r="130" spans="1:16">
      <c r="A130" s="65" t="s">
        <v>141</v>
      </c>
      <c r="B130" s="69" t="s">
        <v>241</v>
      </c>
      <c r="C130" s="68"/>
      <c r="D130" s="69"/>
      <c r="E130" s="69"/>
      <c r="F130" s="68"/>
      <c r="G130" s="68"/>
      <c r="H130" s="68"/>
      <c r="I130" s="68"/>
      <c r="J130" s="68"/>
      <c r="K130" s="68"/>
      <c r="L130" s="68"/>
      <c r="M130" s="68"/>
      <c r="N130" s="68"/>
      <c r="O130" s="68"/>
    </row>
    <row r="132" spans="1:16">
      <c r="H132" s="121">
        <f>I47</f>
        <v>7.1430567736592705</v>
      </c>
    </row>
    <row r="133" spans="1:16">
      <c r="D133" s="65" t="s">
        <v>242</v>
      </c>
      <c r="E133" s="161">
        <v>0.2</v>
      </c>
      <c r="G133" s="154">
        <f t="shared" ref="G133:G134" si="33">G134-$E$133</f>
        <v>0.50000000000000022</v>
      </c>
      <c r="H133" s="121">
        <f t="dataTable" ref="H133:H140" dt2D="0" dtr="0" r1="F107"/>
        <v>40.015897972050574</v>
      </c>
    </row>
    <row r="134" spans="1:16">
      <c r="G134" s="154">
        <f t="shared" si="33"/>
        <v>0.70000000000000018</v>
      </c>
      <c r="H134" s="121">
        <v>27.838629466107843</v>
      </c>
    </row>
    <row r="135" spans="1:16">
      <c r="G135" s="154">
        <f>G136-$E$133</f>
        <v>0.90000000000000013</v>
      </c>
      <c r="H135" s="121">
        <v>20.982021000606771</v>
      </c>
    </row>
    <row r="136" spans="1:16">
      <c r="F136" s="65" t="s">
        <v>220</v>
      </c>
      <c r="G136" s="161">
        <v>1.1000000000000001</v>
      </c>
      <c r="H136" s="121">
        <v>16.601714056511117</v>
      </c>
    </row>
    <row r="137" spans="1:16">
      <c r="G137" s="154">
        <f>G136+$E$133</f>
        <v>1.3</v>
      </c>
      <c r="H137" s="121">
        <v>13.573275638982771</v>
      </c>
    </row>
    <row r="138" spans="1:16">
      <c r="G138" s="154">
        <f t="shared" ref="G138:G140" si="34">G137+$E$133</f>
        <v>1.5</v>
      </c>
      <c r="H138" s="121">
        <v>11.362956766539423</v>
      </c>
    </row>
    <row r="139" spans="1:16">
      <c r="G139" s="154">
        <f t="shared" si="34"/>
        <v>1.7</v>
      </c>
      <c r="H139" s="121">
        <v>9.6848822725847334</v>
      </c>
    </row>
    <row r="140" spans="1:16">
      <c r="G140" s="154">
        <f t="shared" si="34"/>
        <v>1.9</v>
      </c>
      <c r="H140" s="121">
        <v>8.3721532511156518</v>
      </c>
    </row>
    <row r="141" spans="1:16">
      <c r="N141" s="65" t="s">
        <v>243</v>
      </c>
      <c r="P141" s="119">
        <v>1</v>
      </c>
    </row>
    <row r="142" spans="1:16">
      <c r="C142" s="165" t="s">
        <v>244</v>
      </c>
      <c r="D142" s="165"/>
      <c r="E142" s="165"/>
      <c r="F142" s="165"/>
      <c r="G142" s="165"/>
      <c r="H142" s="165"/>
      <c r="I142" s="165"/>
      <c r="J142" s="165"/>
      <c r="K142" s="165"/>
      <c r="L142" s="165"/>
      <c r="M142" s="165"/>
    </row>
    <row r="143" spans="1:16">
      <c r="C143" s="166">
        <f t="shared" ref="C143:F143" si="35">D143-$P$141</f>
        <v>17.8</v>
      </c>
      <c r="D143" s="166">
        <f t="shared" si="35"/>
        <v>18.8</v>
      </c>
      <c r="E143" s="166">
        <f t="shared" si="35"/>
        <v>19.8</v>
      </c>
      <c r="F143" s="166">
        <f t="shared" si="35"/>
        <v>20.8</v>
      </c>
      <c r="G143" s="166">
        <f>H143-$P$141</f>
        <v>21.8</v>
      </c>
      <c r="H143" s="167">
        <v>22.8</v>
      </c>
      <c r="I143" s="166">
        <f>H143+$P$141</f>
        <v>23.8</v>
      </c>
      <c r="J143" s="166">
        <f t="shared" ref="J143:M143" si="36">I143+$P$141</f>
        <v>24.8</v>
      </c>
      <c r="K143" s="166">
        <f t="shared" si="36"/>
        <v>25.8</v>
      </c>
      <c r="L143" s="166">
        <f t="shared" si="36"/>
        <v>26.8</v>
      </c>
      <c r="M143" s="166">
        <f t="shared" si="36"/>
        <v>27.8</v>
      </c>
    </row>
    <row r="144" spans="1:16">
      <c r="B144" s="121">
        <f>N47</f>
        <v>29.010765590986008</v>
      </c>
      <c r="C144" s="121">
        <f t="dataTable" ref="C144:M144" dt2D="0" dtr="1" r1="N37" ca="1"/>
        <v>22.79100700957305</v>
      </c>
      <c r="D144" s="121">
        <v>24.030002742922246</v>
      </c>
      <c r="E144" s="121">
        <v>25.268998476271442</v>
      </c>
      <c r="F144" s="121">
        <v>26.507994209620634</v>
      </c>
      <c r="G144" s="121">
        <v>27.746989942969829</v>
      </c>
      <c r="H144" s="121">
        <v>28.985985676319029</v>
      </c>
      <c r="I144" s="121">
        <v>30.224981409668224</v>
      </c>
      <c r="J144" s="121">
        <v>31.463977143017416</v>
      </c>
      <c r="K144" s="121">
        <v>32.702972876366609</v>
      </c>
      <c r="L144" s="121">
        <v>33.941968609715808</v>
      </c>
      <c r="M144" s="121">
        <v>35.180964343065007</v>
      </c>
    </row>
    <row r="145" spans="2:16">
      <c r="O145" s="65" t="s">
        <v>245</v>
      </c>
      <c r="P145" s="146">
        <v>0.01</v>
      </c>
    </row>
    <row r="146" spans="2:16">
      <c r="D146" s="165" t="s">
        <v>207</v>
      </c>
      <c r="E146" s="165"/>
      <c r="F146" s="165"/>
      <c r="G146" s="165"/>
      <c r="H146" s="165"/>
      <c r="I146" s="165"/>
      <c r="J146" s="165"/>
      <c r="K146" s="165"/>
      <c r="L146" s="165"/>
      <c r="M146" s="165"/>
      <c r="N146" s="165"/>
      <c r="O146" s="65" t="s">
        <v>246</v>
      </c>
      <c r="P146" s="146">
        <v>5.0000000000000001E-3</v>
      </c>
    </row>
    <row r="147" spans="2:16">
      <c r="C147" s="121">
        <f>I47</f>
        <v>7.1430567736592705</v>
      </c>
      <c r="D147" s="108">
        <f>E147-$P$145</f>
        <v>6.0000000000000019E-2</v>
      </c>
      <c r="E147" s="108">
        <f>F147-$P$145</f>
        <v>7.0000000000000021E-2</v>
      </c>
      <c r="F147" s="108">
        <f>G147-$P$145</f>
        <v>8.0000000000000016E-2</v>
      </c>
      <c r="G147" s="108">
        <f>H147-$P$145</f>
        <v>9.0000000000000011E-2</v>
      </c>
      <c r="H147" s="108">
        <f>I147-$P$145</f>
        <v>0.1</v>
      </c>
      <c r="I147" s="146">
        <v>0.11</v>
      </c>
      <c r="J147" s="108">
        <f>I147+$P$145</f>
        <v>0.12</v>
      </c>
      <c r="K147" s="108">
        <f>J147+$P$145</f>
        <v>0.13</v>
      </c>
      <c r="L147" s="108">
        <f>K147+$P$145</f>
        <v>0.14000000000000001</v>
      </c>
      <c r="M147" s="108">
        <f>L147+$P$145</f>
        <v>0.15000000000000002</v>
      </c>
      <c r="N147" s="108">
        <f>M147+$P$145</f>
        <v>0.16000000000000003</v>
      </c>
    </row>
    <row r="148" spans="2:16">
      <c r="C148" s="146">
        <v>0.01</v>
      </c>
      <c r="D148" s="121">
        <f t="dataTable" ref="D148:N155" dt2D="1" dtr="1" r1="I39" r2="I37" ca="1"/>
        <v>19.340512067787817</v>
      </c>
      <c r="E148" s="121">
        <v>15.529333775924966</v>
      </c>
      <c r="F148" s="121">
        <v>12.832071231622944</v>
      </c>
      <c r="G148" s="121">
        <v>10.829936060287327</v>
      </c>
      <c r="H148" s="121">
        <v>9.2903237553481421</v>
      </c>
      <c r="I148" s="121">
        <v>8.0737183523328415</v>
      </c>
      <c r="J148" s="121">
        <v>7.091376607138101</v>
      </c>
      <c r="K148" s="121">
        <v>6.2841702827420525</v>
      </c>
      <c r="L148" s="121">
        <v>5.6111937014064148</v>
      </c>
      <c r="M148" s="121">
        <v>5.0432539167020369</v>
      </c>
      <c r="N148" s="121">
        <v>4.5589649384820401</v>
      </c>
    </row>
    <row r="149" spans="2:16">
      <c r="C149" s="108">
        <f t="shared" ref="C149:C155" si="37">C148+$P$146</f>
        <v>1.4999999999999999E-2</v>
      </c>
      <c r="D149" s="121">
        <v>21.489085833876171</v>
      </c>
      <c r="E149" s="121">
        <v>16.940269394705076</v>
      </c>
      <c r="F149" s="121">
        <v>13.818009739668845</v>
      </c>
      <c r="G149" s="121">
        <v>11.550543938357599</v>
      </c>
      <c r="H149" s="121">
        <v>9.8352328696699249</v>
      </c>
      <c r="I149" s="121">
        <v>8.4969135467771331</v>
      </c>
      <c r="J149" s="121">
        <v>7.4271932169761081</v>
      </c>
      <c r="K149" s="121">
        <v>6.5554163109076704</v>
      </c>
      <c r="L149" s="121">
        <v>5.8335674295835727</v>
      </c>
      <c r="M149" s="121">
        <v>5.2278842621684145</v>
      </c>
      <c r="N149" s="121">
        <v>4.7139411462850989</v>
      </c>
    </row>
    <row r="150" spans="2:16">
      <c r="C150" s="108">
        <f t="shared" si="37"/>
        <v>0.02</v>
      </c>
      <c r="D150" s="121">
        <v>24.174803041486612</v>
      </c>
      <c r="E150" s="121">
        <v>18.633392137241206</v>
      </c>
      <c r="F150" s="121">
        <v>14.968271332389063</v>
      </c>
      <c r="G150" s="121">
        <v>12.374095799009337</v>
      </c>
      <c r="H150" s="121">
        <v>10.448255623281932</v>
      </c>
      <c r="I150" s="121">
        <v>8.967130429493011</v>
      </c>
      <c r="J150" s="121">
        <v>7.7965914877979179</v>
      </c>
      <c r="K150" s="121">
        <v>6.8513210689065254</v>
      </c>
      <c r="L150" s="121">
        <v>6.0744723017754945</v>
      </c>
      <c r="M150" s="121">
        <v>5.4267169419014376</v>
      </c>
      <c r="N150" s="121">
        <v>4.8799870832169452</v>
      </c>
    </row>
    <row r="151" spans="2:16">
      <c r="B151" s="168" t="s">
        <v>247</v>
      </c>
      <c r="C151" s="108">
        <f t="shared" si="37"/>
        <v>2.5000000000000001E-2</v>
      </c>
      <c r="D151" s="121">
        <v>27.627868022700046</v>
      </c>
      <c r="E151" s="121">
        <v>20.702764378118705</v>
      </c>
      <c r="F151" s="121">
        <v>16.327671396512955</v>
      </c>
      <c r="G151" s="121">
        <v>13.324347945915191</v>
      </c>
      <c r="H151" s="121">
        <v>11.143014744042206</v>
      </c>
      <c r="I151" s="121">
        <v>9.4926669454695816</v>
      </c>
      <c r="J151" s="121">
        <v>8.2048737871272834</v>
      </c>
      <c r="K151" s="121">
        <v>7.1754072324290812</v>
      </c>
      <c r="L151" s="121">
        <v>6.3363254237232329</v>
      </c>
      <c r="M151" s="121">
        <v>5.6414562360131022</v>
      </c>
      <c r="N151" s="121">
        <v>5.0583327191807825</v>
      </c>
    </row>
    <row r="152" spans="2:16">
      <c r="C152" s="108">
        <f t="shared" si="37"/>
        <v>3.0000000000000002E-2</v>
      </c>
      <c r="D152" s="121">
        <v>32.231954664317961</v>
      </c>
      <c r="E152" s="121">
        <v>23.289479679215574</v>
      </c>
      <c r="F152" s="121">
        <v>17.958951473461632</v>
      </c>
      <c r="G152" s="121">
        <v>14.432975450638686</v>
      </c>
      <c r="H152" s="121">
        <v>11.937025167768235</v>
      </c>
      <c r="I152" s="121">
        <v>10.083895525943223</v>
      </c>
      <c r="J152" s="121">
        <v>8.6585207863821374</v>
      </c>
      <c r="K152" s="121">
        <v>7.5319020123038936</v>
      </c>
      <c r="L152" s="121">
        <v>6.6219833749389512</v>
      </c>
      <c r="M152" s="121">
        <v>5.8740904713007405</v>
      </c>
      <c r="N152" s="121">
        <v>5.2503972502187617</v>
      </c>
    </row>
    <row r="153" spans="2:16">
      <c r="C153" s="108">
        <f t="shared" si="37"/>
        <v>3.5000000000000003E-2</v>
      </c>
      <c r="D153" s="121">
        <v>38.677675962583031</v>
      </c>
      <c r="E153" s="121">
        <v>26.615256494911549</v>
      </c>
      <c r="F153" s="121">
        <v>19.952738234176678</v>
      </c>
      <c r="G153" s="121">
        <v>15.743171592584636</v>
      </c>
      <c r="H153" s="121">
        <v>12.853191041298267</v>
      </c>
      <c r="I153" s="121">
        <v>10.753954583813353</v>
      </c>
      <c r="J153" s="121">
        <v>9.1655380208434423</v>
      </c>
      <c r="K153" s="121">
        <v>7.925922558481318</v>
      </c>
      <c r="L153" s="121">
        <v>6.9348468453180701</v>
      </c>
      <c r="M153" s="121">
        <v>6.1269537705264323</v>
      </c>
      <c r="N153" s="121">
        <v>5.4578269437397777</v>
      </c>
    </row>
    <row r="154" spans="2:16">
      <c r="C154" s="108">
        <f t="shared" si="37"/>
        <v>0.04</v>
      </c>
      <c r="D154" s="121">
        <v>48.346257909980622</v>
      </c>
      <c r="E154" s="121">
        <v>31.049625582506181</v>
      </c>
      <c r="F154" s="121">
        <v>22.444971685070485</v>
      </c>
      <c r="G154" s="121">
        <v>17.315406962919774</v>
      </c>
      <c r="H154" s="121">
        <v>13.922051227083308</v>
      </c>
      <c r="I154" s="121">
        <v>11.519736364236355</v>
      </c>
      <c r="J154" s="121">
        <v>9.7359324096124151</v>
      </c>
      <c r="K154" s="121">
        <v>8.3637231653451209</v>
      </c>
      <c r="L154" s="121">
        <v>7.2789966627351017</v>
      </c>
      <c r="M154" s="121">
        <v>6.4028046424090066</v>
      </c>
      <c r="N154" s="121">
        <v>5.6825424450542137</v>
      </c>
    </row>
    <row r="155" spans="2:16">
      <c r="C155" s="108">
        <f t="shared" si="37"/>
        <v>4.4999999999999998E-2</v>
      </c>
      <c r="D155" s="121">
        <v>64.460561155643276</v>
      </c>
      <c r="E155" s="121">
        <v>37.257742305138663</v>
      </c>
      <c r="F155" s="121">
        <v>25.649271836219661</v>
      </c>
      <c r="G155" s="121">
        <v>19.237027971107164</v>
      </c>
      <c r="H155" s="121">
        <v>15.185249628465623</v>
      </c>
      <c r="I155" s="121">
        <v>12.403330726262896</v>
      </c>
      <c r="J155" s="121">
        <v>10.38237938355058</v>
      </c>
      <c r="K155" s="121">
        <v>8.8530297259576081</v>
      </c>
      <c r="L155" s="121">
        <v>7.6593727767223454</v>
      </c>
      <c r="M155" s="121">
        <v>6.7049270258994431</v>
      </c>
      <c r="N155" s="121">
        <v>5.926798424743815</v>
      </c>
    </row>
    <row r="157" spans="2:16">
      <c r="B157" s="69" t="s">
        <v>248</v>
      </c>
      <c r="C157" s="69"/>
      <c r="D157" s="69"/>
      <c r="E157" s="69"/>
      <c r="F157" s="69"/>
    </row>
    <row r="158" spans="2:16">
      <c r="B158" s="69"/>
      <c r="C158" s="69"/>
      <c r="D158" s="69" t="s">
        <v>249</v>
      </c>
      <c r="E158" s="69" t="s">
        <v>250</v>
      </c>
      <c r="F158" s="69" t="s">
        <v>251</v>
      </c>
    </row>
    <row r="159" spans="2:16">
      <c r="B159" s="169"/>
      <c r="C159" s="169"/>
      <c r="D159" s="170"/>
      <c r="E159" s="170"/>
      <c r="F159" s="170"/>
    </row>
    <row r="160" spans="2:16">
      <c r="B160" s="171" t="s">
        <v>252</v>
      </c>
      <c r="C160" s="171"/>
      <c r="D160" s="172"/>
      <c r="E160" s="172"/>
      <c r="F160" s="172"/>
    </row>
    <row r="161" spans="2:6">
      <c r="B161" s="169" t="s">
        <v>253</v>
      </c>
      <c r="C161" s="169"/>
      <c r="D161" s="173">
        <v>0.25</v>
      </c>
      <c r="E161" s="173">
        <v>0.2</v>
      </c>
      <c r="F161" s="173">
        <v>0.15</v>
      </c>
    </row>
    <row r="162" spans="2:6">
      <c r="B162" s="169" t="s">
        <v>254</v>
      </c>
      <c r="C162" s="169"/>
      <c r="D162" s="173">
        <v>0.54</v>
      </c>
      <c r="E162" s="173">
        <v>0.55500000000000005</v>
      </c>
      <c r="F162" s="173">
        <v>0.56000000000000005</v>
      </c>
    </row>
    <row r="163" spans="2:6">
      <c r="B163" s="169" t="s">
        <v>255</v>
      </c>
      <c r="C163" s="169"/>
      <c r="D163" s="173">
        <v>0.37</v>
      </c>
      <c r="E163" s="173">
        <v>0.4</v>
      </c>
      <c r="F163" s="173">
        <v>0.42</v>
      </c>
    </row>
    <row r="164" spans="2:6">
      <c r="B164" s="169" t="s">
        <v>169</v>
      </c>
      <c r="C164" s="169"/>
      <c r="D164" s="173">
        <v>3.5000000000000003E-2</v>
      </c>
      <c r="E164" s="173">
        <v>8.0000000000000002E-3</v>
      </c>
      <c r="F164" s="173">
        <v>8.0000000000000002E-3</v>
      </c>
    </row>
    <row r="165" spans="2:6">
      <c r="B165" s="169" t="s">
        <v>207</v>
      </c>
      <c r="C165" s="169"/>
      <c r="D165" s="173">
        <v>0.08</v>
      </c>
      <c r="E165" s="173">
        <v>0.117973918208155</v>
      </c>
      <c r="F165" s="173">
        <v>0.125</v>
      </c>
    </row>
    <row r="166" spans="2:6">
      <c r="B166" s="171" t="s">
        <v>256</v>
      </c>
      <c r="C166" s="171"/>
      <c r="D166" s="172"/>
      <c r="E166" s="172"/>
      <c r="F166" s="172"/>
    </row>
    <row r="167" spans="2:6">
      <c r="B167" s="169" t="s">
        <v>257</v>
      </c>
      <c r="C167" s="169"/>
      <c r="D167" s="174">
        <v>36.780905862794199</v>
      </c>
      <c r="E167" s="174">
        <v>7.1430567736592803</v>
      </c>
      <c r="F167" s="174">
        <v>3.0169995589350602</v>
      </c>
    </row>
    <row r="168" spans="2:6" ht="14.5" thickBot="1">
      <c r="B168" s="169" t="s">
        <v>258</v>
      </c>
      <c r="C168" s="175"/>
      <c r="D168" s="176">
        <v>36.185585466100399</v>
      </c>
      <c r="E168" s="176">
        <v>7.8088490137640898</v>
      </c>
      <c r="F168" s="176">
        <v>3.8583586182781202</v>
      </c>
    </row>
  </sheetData>
  <scenarios current="0" sqref="I47 S46">
    <scenario name="Best_Case" locked="1" count="5" user="David Moore">
      <inputCells r="R26" val="0.25" numFmtId="165"/>
      <inputCells r="K27" val="0.54" numFmtId="165"/>
      <inputCells r="R28" val="0.37" numFmtId="165"/>
      <inputCells r="I37" val="0.035" numFmtId="165"/>
      <inputCells r="I39" val="0.08"/>
    </scenario>
    <scenario name="Base_Case" locked="1" count="5" user="David Moore">
      <inputCells r="R26" val="0.2" numFmtId="165"/>
      <inputCells r="K27" val="0.555" numFmtId="165"/>
      <inputCells r="R28" val="0.4" numFmtId="165"/>
      <inputCells r="I37" val="0.008" numFmtId="165"/>
      <inputCells r="I39" val="0.117973918208155"/>
    </scenario>
    <scenario name="Worst_case" locked="1" count="5" user="David Moore" comment="Created by David Moore on 11/3/2020">
      <inputCells r="R26" val="0.15" numFmtId="165"/>
      <inputCells r="K27" val="0.56" numFmtId="165"/>
      <inputCells r="R28" val="0.42" numFmtId="165"/>
      <inputCells r="I37" val="0.008" numFmtId="165"/>
      <inputCells r="I39" val="0.125"/>
    </scenario>
  </scenarios>
  <pageMargins left="0.7" right="0.7" top="0.75" bottom="0.75" header="0.3" footer="0.3"/>
  <pageSetup orientation="portrait"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29E1-3F0C-4FE5-911D-EEFB47639E40}">
  <dimension ref="B2:H30"/>
  <sheetViews>
    <sheetView topLeftCell="A7" workbookViewId="0">
      <selection activeCell="D35" sqref="D35"/>
    </sheetView>
  </sheetViews>
  <sheetFormatPr defaultColWidth="10.1796875" defaultRowHeight="12.5"/>
  <cols>
    <col min="1" max="1" width="3.1796875" style="180" customWidth="1"/>
    <col min="2" max="2" width="13.1796875" style="180" customWidth="1"/>
    <col min="3" max="3" width="19.26953125" style="180" customWidth="1"/>
    <col min="4" max="16384" width="10.1796875" style="180"/>
  </cols>
  <sheetData>
    <row r="2" spans="2:8" s="178" customFormat="1" ht="18">
      <c r="B2" s="177" t="s">
        <v>259</v>
      </c>
      <c r="C2" s="177"/>
    </row>
    <row r="3" spans="2:8" ht="13">
      <c r="B3" s="179" t="s">
        <v>260</v>
      </c>
      <c r="C3" s="179"/>
      <c r="E3" s="181">
        <f ca="1">SFIX_DCF!S40</f>
        <v>7.1486262327057153</v>
      </c>
    </row>
    <row r="4" spans="2:8" ht="13">
      <c r="B4" s="179" t="s">
        <v>261</v>
      </c>
      <c r="C4" s="179"/>
      <c r="E4" s="182">
        <v>17.100000000000001</v>
      </c>
    </row>
    <row r="5" spans="2:8" ht="13">
      <c r="B5" s="179" t="s">
        <v>262</v>
      </c>
      <c r="C5" s="179"/>
      <c r="E5" s="183">
        <v>6.2</v>
      </c>
    </row>
    <row r="6" spans="2:8" ht="13">
      <c r="B6" s="179" t="s">
        <v>263</v>
      </c>
      <c r="C6" s="179"/>
      <c r="E6" s="184">
        <v>0.501</v>
      </c>
      <c r="F6" s="179" t="s">
        <v>264</v>
      </c>
    </row>
    <row r="7" spans="2:8" ht="13">
      <c r="B7" s="179" t="s">
        <v>265</v>
      </c>
      <c r="C7" s="179"/>
      <c r="E7" s="185">
        <v>0</v>
      </c>
    </row>
    <row r="8" spans="2:8" ht="13">
      <c r="B8" s="179" t="s">
        <v>266</v>
      </c>
      <c r="C8" s="179"/>
      <c r="E8" s="185">
        <v>8.1099999999999992E-3</v>
      </c>
    </row>
    <row r="9" spans="2:8" ht="13">
      <c r="B9" s="179" t="s">
        <v>267</v>
      </c>
      <c r="C9" s="179"/>
      <c r="E9" s="186">
        <v>6817.1959999999999</v>
      </c>
    </row>
    <row r="10" spans="2:8" ht="13">
      <c r="B10" s="179" t="s">
        <v>268</v>
      </c>
      <c r="C10" s="179"/>
      <c r="E10" s="187">
        <f>SFIX_DCF!I77</f>
        <v>104271.783</v>
      </c>
    </row>
    <row r="11" spans="2:8" ht="13">
      <c r="B11" s="179"/>
      <c r="C11" s="179"/>
      <c r="E11" s="188"/>
    </row>
    <row r="12" spans="2:8" ht="13">
      <c r="B12" s="179" t="s">
        <v>269</v>
      </c>
      <c r="C12" s="189" t="s">
        <v>270</v>
      </c>
      <c r="E12" s="188"/>
    </row>
    <row r="13" spans="2:8" ht="13">
      <c r="B13" s="179"/>
      <c r="C13" s="179"/>
    </row>
    <row r="14" spans="2:8" s="192" customFormat="1" ht="13.5">
      <c r="B14" s="190" t="s">
        <v>271</v>
      </c>
      <c r="C14" s="191"/>
    </row>
    <row r="15" spans="2:8" s="179" customFormat="1" ht="13">
      <c r="B15" s="193" t="s">
        <v>272</v>
      </c>
    </row>
    <row r="16" spans="2:8" s="179" customFormat="1" ht="13">
      <c r="B16" s="179" t="s">
        <v>273</v>
      </c>
      <c r="D16" s="194">
        <f ca="1">E3</f>
        <v>7.1486262327057153</v>
      </c>
      <c r="E16" s="179" t="s">
        <v>274</v>
      </c>
      <c r="G16" s="189">
        <f>E9</f>
        <v>6817.1959999999999</v>
      </c>
      <c r="H16" s="195"/>
    </row>
    <row r="17" spans="2:8" s="179" customFormat="1" ht="13">
      <c r="B17" s="179" t="s">
        <v>275</v>
      </c>
      <c r="D17" s="194">
        <f>E4</f>
        <v>17.100000000000001</v>
      </c>
      <c r="E17" s="179" t="s">
        <v>276</v>
      </c>
      <c r="G17" s="196">
        <f>E10</f>
        <v>104271.783</v>
      </c>
      <c r="H17" s="195"/>
    </row>
    <row r="18" spans="2:8" s="179" customFormat="1" ht="13">
      <c r="B18" s="179" t="s">
        <v>277</v>
      </c>
      <c r="D18" s="194">
        <f ca="1">(D16*G17+D29*G16)/(G17+G16)</f>
        <v>6.8136952637918515</v>
      </c>
      <c r="E18" s="179" t="s">
        <v>278</v>
      </c>
      <c r="G18" s="197">
        <f>E8</f>
        <v>8.1099999999999992E-3</v>
      </c>
    </row>
    <row r="19" spans="2:8" s="179" customFormat="1" ht="13">
      <c r="B19" s="179" t="s">
        <v>279</v>
      </c>
      <c r="D19" s="194">
        <f>D17</f>
        <v>17.100000000000001</v>
      </c>
      <c r="E19" s="179" t="s">
        <v>280</v>
      </c>
      <c r="G19" s="198">
        <f>E6^2</f>
        <v>0.25100099999999997</v>
      </c>
    </row>
    <row r="20" spans="2:8" s="179" customFormat="1" ht="13">
      <c r="B20" s="179" t="s">
        <v>281</v>
      </c>
      <c r="D20" s="194">
        <f>E5</f>
        <v>6.2</v>
      </c>
      <c r="E20" s="179" t="s">
        <v>282</v>
      </c>
      <c r="G20" s="197">
        <f>E7</f>
        <v>0</v>
      </c>
    </row>
    <row r="21" spans="2:8" s="179" customFormat="1" ht="13">
      <c r="D21" s="193"/>
      <c r="E21" s="179" t="s">
        <v>283</v>
      </c>
      <c r="G21" s="199">
        <f>G18-G20</f>
        <v>8.1099999999999992E-3</v>
      </c>
    </row>
    <row r="22" spans="2:8" s="179" customFormat="1" ht="13"/>
    <row r="23" spans="2:8" s="179" customFormat="1" ht="13">
      <c r="B23" s="179" t="s">
        <v>284</v>
      </c>
      <c r="C23" s="189">
        <f ca="1">(LN(D18/D19)+(G21+(G19/2))*D20)/(((G19)^(0.5))*(D20^0.5))</f>
        <v>-7.3555304916573819E-2</v>
      </c>
    </row>
    <row r="24" spans="2:8" s="179" customFormat="1" ht="13">
      <c r="B24" s="179" t="s">
        <v>285</v>
      </c>
      <c r="C24" s="189">
        <f ca="1">NORMSDIST(C23)</f>
        <v>0.47068211812916971</v>
      </c>
    </row>
    <row r="25" spans="2:8" s="179" customFormat="1" ht="13"/>
    <row r="26" spans="2:8" s="179" customFormat="1" ht="13">
      <c r="B26" s="179" t="s">
        <v>286</v>
      </c>
      <c r="C26" s="189">
        <f ca="1">C23-((G19^0.5)*(D20^(0.5)))</f>
        <v>-1.3210352446350446</v>
      </c>
    </row>
    <row r="27" spans="2:8" s="179" customFormat="1" ht="13">
      <c r="B27" s="179" t="s">
        <v>287</v>
      </c>
      <c r="C27" s="189">
        <f ca="1">NORMSDIST(C26)</f>
        <v>9.3244806375395478E-2</v>
      </c>
    </row>
    <row r="28" spans="2:8" ht="13.5" thickBot="1">
      <c r="B28" s="179"/>
      <c r="C28" s="179"/>
    </row>
    <row r="29" spans="2:8" s="179" customFormat="1" ht="13.5" thickBot="1">
      <c r="B29" s="179" t="s">
        <v>288</v>
      </c>
      <c r="D29" s="200">
        <f ca="1">IF(C12="OFF",((EXP((0-G20)*D20))*D18*C24-D19*(EXP((0-G18)*D20))*C27),0)</f>
        <v>1.6907899944456188</v>
      </c>
      <c r="H29" s="201"/>
    </row>
    <row r="30" spans="2:8" s="179" customFormat="1" ht="13.5" thickBot="1">
      <c r="B30" s="179" t="s">
        <v>289</v>
      </c>
      <c r="E30" s="202">
        <f ca="1">D29*E9</f>
        <v>11526.446786974695</v>
      </c>
    </row>
  </sheetData>
  <dataValidations count="1">
    <dataValidation type="list" allowBlank="1" showInputMessage="1" showErrorMessage="1" sqref="C12" xr:uid="{FC123C8C-ECD7-493A-8716-B6678099B051}">
      <formula1>"ON,OFF"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4C03F-41D2-4AB2-A88D-9F044040ACEC}">
  <dimension ref="A4:G51"/>
  <sheetViews>
    <sheetView workbookViewId="0">
      <selection activeCell="D35" sqref="D35"/>
    </sheetView>
  </sheetViews>
  <sheetFormatPr defaultRowHeight="12.5"/>
  <cols>
    <col min="1" max="1" width="50" style="3" customWidth="1"/>
    <col min="2" max="196" width="12" style="3" customWidth="1"/>
    <col min="197" max="16384" width="8.7265625" style="3"/>
  </cols>
  <sheetData>
    <row r="4" spans="1:7">
      <c r="A4" s="203" t="s">
        <v>290</v>
      </c>
    </row>
    <row r="5" spans="1:7" ht="20">
      <c r="A5" s="204" t="s">
        <v>291</v>
      </c>
    </row>
    <row r="7" spans="1:7">
      <c r="A7" s="205" t="s">
        <v>292</v>
      </c>
    </row>
    <row r="10" spans="1:7" ht="13">
      <c r="A10" s="206" t="s">
        <v>293</v>
      </c>
      <c r="B10" s="3">
        <f>YEAR(B11)</f>
        <v>2020</v>
      </c>
      <c r="C10" s="3">
        <f t="shared" ref="C10:F10" si="0">YEAR(C11)</f>
        <v>2019</v>
      </c>
      <c r="D10" s="3">
        <f t="shared" si="0"/>
        <v>2018</v>
      </c>
      <c r="E10" s="3">
        <f t="shared" si="0"/>
        <v>2017</v>
      </c>
      <c r="F10" s="3">
        <f t="shared" si="0"/>
        <v>2016</v>
      </c>
    </row>
    <row r="11" spans="1:7" ht="13">
      <c r="A11" s="207" t="s">
        <v>294</v>
      </c>
      <c r="B11" s="208" t="s">
        <v>295</v>
      </c>
      <c r="C11" s="208" t="s">
        <v>296</v>
      </c>
      <c r="D11" s="208" t="s">
        <v>297</v>
      </c>
      <c r="E11" s="208" t="s">
        <v>298</v>
      </c>
      <c r="F11" s="208" t="s">
        <v>299</v>
      </c>
      <c r="G11" s="207"/>
    </row>
    <row r="12" spans="1:7" ht="13">
      <c r="A12" s="207" t="s">
        <v>300</v>
      </c>
      <c r="B12" s="208" t="s">
        <v>301</v>
      </c>
      <c r="C12" s="208" t="s">
        <v>301</v>
      </c>
      <c r="D12" s="208" t="s">
        <v>301</v>
      </c>
      <c r="E12" s="208" t="s">
        <v>301</v>
      </c>
      <c r="F12" s="208" t="s">
        <v>301</v>
      </c>
      <c r="G12" s="207"/>
    </row>
    <row r="13" spans="1:7" ht="13">
      <c r="A13" s="207" t="s">
        <v>302</v>
      </c>
      <c r="B13" s="208" t="s">
        <v>303</v>
      </c>
      <c r="C13" s="208" t="s">
        <v>303</v>
      </c>
      <c r="D13" s="208" t="s">
        <v>303</v>
      </c>
      <c r="E13" s="208" t="s">
        <v>303</v>
      </c>
      <c r="F13" s="208" t="s">
        <v>303</v>
      </c>
      <c r="G13" s="207"/>
    </row>
    <row r="14" spans="1:7" ht="13">
      <c r="A14" s="207" t="s">
        <v>304</v>
      </c>
      <c r="B14" s="208" t="s">
        <v>305</v>
      </c>
      <c r="C14" s="208" t="s">
        <v>305</v>
      </c>
      <c r="D14" s="208" t="s">
        <v>305</v>
      </c>
      <c r="E14" s="208" t="s">
        <v>305</v>
      </c>
      <c r="F14" s="208" t="s">
        <v>305</v>
      </c>
      <c r="G14" s="207"/>
    </row>
    <row r="15" spans="1:7" ht="13">
      <c r="A15" s="207" t="s">
        <v>306</v>
      </c>
      <c r="B15" s="208" t="s">
        <v>307</v>
      </c>
      <c r="C15" s="208" t="s">
        <v>307</v>
      </c>
      <c r="D15" s="208" t="s">
        <v>307</v>
      </c>
      <c r="E15" s="208" t="s">
        <v>307</v>
      </c>
      <c r="F15" s="208" t="s">
        <v>307</v>
      </c>
      <c r="G15" s="207"/>
    </row>
    <row r="16" spans="1:7">
      <c r="A16" s="209" t="s">
        <v>145</v>
      </c>
      <c r="B16" s="210">
        <v>1711733</v>
      </c>
      <c r="C16" s="210">
        <v>1577558</v>
      </c>
      <c r="D16" s="210">
        <v>1226505</v>
      </c>
      <c r="E16" s="210">
        <v>977139</v>
      </c>
      <c r="F16" s="210">
        <v>730313</v>
      </c>
      <c r="G16" s="209"/>
    </row>
    <row r="17" spans="1:7">
      <c r="A17" s="209" t="s">
        <v>146</v>
      </c>
      <c r="B17" s="210">
        <v>957523</v>
      </c>
      <c r="C17" s="210">
        <v>874429</v>
      </c>
      <c r="D17" s="210">
        <v>690483</v>
      </c>
      <c r="E17" s="210">
        <v>542718</v>
      </c>
      <c r="F17" s="210">
        <v>407064</v>
      </c>
      <c r="G17" s="209"/>
    </row>
    <row r="18" spans="1:7">
      <c r="A18" s="209" t="s">
        <v>308</v>
      </c>
      <c r="B18" s="210">
        <v>754210</v>
      </c>
      <c r="C18" s="210">
        <v>703129</v>
      </c>
      <c r="D18" s="210">
        <v>536022</v>
      </c>
      <c r="E18" s="210">
        <v>434421</v>
      </c>
      <c r="F18" s="210">
        <v>323249</v>
      </c>
      <c r="G18" s="209"/>
    </row>
    <row r="19" spans="1:7">
      <c r="A19" s="209" t="s">
        <v>148</v>
      </c>
      <c r="B19" s="210">
        <v>805874</v>
      </c>
      <c r="C19" s="210">
        <v>679634</v>
      </c>
      <c r="D19" s="210">
        <v>492998</v>
      </c>
      <c r="E19" s="210">
        <v>402781</v>
      </c>
      <c r="F19" s="210">
        <v>259021</v>
      </c>
      <c r="G19" s="209"/>
    </row>
    <row r="20" spans="1:7">
      <c r="A20" s="209" t="s">
        <v>309</v>
      </c>
      <c r="B20" s="210">
        <v>-51664</v>
      </c>
      <c r="C20" s="210">
        <v>23495</v>
      </c>
      <c r="D20" s="210">
        <v>43024</v>
      </c>
      <c r="E20" s="210">
        <v>31640</v>
      </c>
      <c r="F20" s="210">
        <v>64228</v>
      </c>
      <c r="G20" s="209"/>
    </row>
    <row r="21" spans="1:7">
      <c r="A21" s="209" t="s">
        <v>310</v>
      </c>
      <c r="B21" s="211" t="s">
        <v>311</v>
      </c>
      <c r="C21" s="211" t="s">
        <v>311</v>
      </c>
      <c r="D21" s="210">
        <v>10685</v>
      </c>
      <c r="E21" s="210">
        <v>-18881</v>
      </c>
      <c r="F21" s="210">
        <v>-3019</v>
      </c>
      <c r="G21" s="209"/>
    </row>
    <row r="22" spans="1:7">
      <c r="A22" s="209" t="s">
        <v>312</v>
      </c>
      <c r="B22" s="210">
        <v>5535</v>
      </c>
      <c r="C22" s="210">
        <v>5791</v>
      </c>
      <c r="D22" s="211" t="s">
        <v>311</v>
      </c>
      <c r="E22" s="211" t="s">
        <v>311</v>
      </c>
      <c r="F22" s="211" t="s">
        <v>311</v>
      </c>
      <c r="G22" s="209"/>
    </row>
    <row r="23" spans="1:7">
      <c r="A23" s="209" t="s">
        <v>313</v>
      </c>
      <c r="B23" s="210">
        <v>-1593</v>
      </c>
      <c r="C23" s="210">
        <v>1535</v>
      </c>
      <c r="D23" s="210">
        <v>1004</v>
      </c>
      <c r="E23" s="210">
        <v>42</v>
      </c>
      <c r="F23" s="210">
        <v>13</v>
      </c>
      <c r="G23" s="209"/>
    </row>
    <row r="24" spans="1:7">
      <c r="A24" s="209" t="s">
        <v>314</v>
      </c>
      <c r="B24" s="210">
        <v>-48302</v>
      </c>
      <c r="C24" s="210">
        <v>31657</v>
      </c>
      <c r="D24" s="210">
        <v>56978</v>
      </c>
      <c r="E24" s="211" t="s">
        <v>311</v>
      </c>
      <c r="F24" s="211" t="s">
        <v>311</v>
      </c>
      <c r="G24" s="209"/>
    </row>
    <row r="25" spans="1:7">
      <c r="A25" s="209" t="s">
        <v>315</v>
      </c>
      <c r="B25" s="210">
        <v>580</v>
      </c>
      <c r="C25" s="210">
        <v>-836</v>
      </c>
      <c r="D25" s="210">
        <v>-2265</v>
      </c>
      <c r="E25" s="211" t="s">
        <v>311</v>
      </c>
      <c r="F25" s="211" t="s">
        <v>311</v>
      </c>
      <c r="G25" s="209"/>
    </row>
    <row r="26" spans="1:7">
      <c r="A26" s="209" t="s">
        <v>316</v>
      </c>
      <c r="B26" s="210">
        <v>-47722</v>
      </c>
      <c r="C26" s="210">
        <v>30821</v>
      </c>
      <c r="D26" s="210">
        <v>54713</v>
      </c>
      <c r="E26" s="210">
        <v>12801</v>
      </c>
      <c r="F26" s="210">
        <v>61222</v>
      </c>
      <c r="G26" s="209"/>
    </row>
    <row r="27" spans="1:7">
      <c r="A27" s="209" t="s">
        <v>317</v>
      </c>
      <c r="B27" s="210">
        <v>-5528</v>
      </c>
      <c r="C27" s="210">
        <v>-221</v>
      </c>
      <c r="D27" s="210">
        <v>2732</v>
      </c>
      <c r="E27" s="210">
        <v>17027</v>
      </c>
      <c r="F27" s="210">
        <v>29204</v>
      </c>
      <c r="G27" s="209"/>
    </row>
    <row r="28" spans="1:7">
      <c r="A28" s="209" t="s">
        <v>318</v>
      </c>
      <c r="B28" s="210">
        <v>1768</v>
      </c>
      <c r="C28" s="210">
        <v>2431</v>
      </c>
      <c r="D28" s="210">
        <v>493</v>
      </c>
      <c r="E28" s="210">
        <v>3096</v>
      </c>
      <c r="F28" s="210">
        <v>4706</v>
      </c>
      <c r="G28" s="209"/>
    </row>
    <row r="29" spans="1:7">
      <c r="A29" s="209" t="s">
        <v>319</v>
      </c>
      <c r="B29" s="210">
        <v>275</v>
      </c>
      <c r="C29" s="210">
        <v>-67</v>
      </c>
      <c r="D29" s="211" t="s">
        <v>311</v>
      </c>
      <c r="E29" s="211" t="s">
        <v>311</v>
      </c>
      <c r="F29" s="211" t="s">
        <v>311</v>
      </c>
      <c r="G29" s="209"/>
    </row>
    <row r="30" spans="1:7">
      <c r="A30" s="209" t="s">
        <v>320</v>
      </c>
      <c r="B30" s="210">
        <v>-3485</v>
      </c>
      <c r="C30" s="210">
        <v>2143</v>
      </c>
      <c r="D30" s="210">
        <v>3225</v>
      </c>
      <c r="E30" s="210">
        <v>20123</v>
      </c>
      <c r="F30" s="210">
        <v>33910</v>
      </c>
      <c r="G30" s="209"/>
    </row>
    <row r="31" spans="1:7">
      <c r="A31" s="209" t="s">
        <v>321</v>
      </c>
      <c r="B31" s="210">
        <v>17367</v>
      </c>
      <c r="C31" s="210">
        <v>-5464</v>
      </c>
      <c r="D31" s="210">
        <v>7917</v>
      </c>
      <c r="E31" s="210">
        <v>-6009</v>
      </c>
      <c r="F31" s="210">
        <v>-5458</v>
      </c>
      <c r="G31" s="209"/>
    </row>
    <row r="32" spans="1:7">
      <c r="A32" s="209" t="s">
        <v>322</v>
      </c>
      <c r="B32" s="210">
        <v>5773</v>
      </c>
      <c r="C32" s="210">
        <v>-2667</v>
      </c>
      <c r="D32" s="210">
        <v>-1329</v>
      </c>
      <c r="E32" s="210">
        <v>-719</v>
      </c>
      <c r="F32" s="210">
        <v>-411</v>
      </c>
      <c r="G32" s="209"/>
    </row>
    <row r="33" spans="1:7">
      <c r="A33" s="209" t="s">
        <v>323</v>
      </c>
      <c r="B33" s="210">
        <v>-260</v>
      </c>
      <c r="C33" s="210">
        <v>-72</v>
      </c>
      <c r="D33" s="211" t="s">
        <v>311</v>
      </c>
      <c r="E33" s="211" t="s">
        <v>311</v>
      </c>
      <c r="F33" s="211" t="s">
        <v>311</v>
      </c>
      <c r="G33" s="209"/>
    </row>
    <row r="34" spans="1:7">
      <c r="A34" s="209" t="s">
        <v>324</v>
      </c>
      <c r="B34" s="210">
        <v>22880</v>
      </c>
      <c r="C34" s="210">
        <v>-8203</v>
      </c>
      <c r="D34" s="210">
        <v>6588</v>
      </c>
      <c r="E34" s="210">
        <v>-6728</v>
      </c>
      <c r="F34" s="210">
        <v>-5869</v>
      </c>
      <c r="G34" s="209"/>
    </row>
    <row r="35" spans="1:7">
      <c r="A35" s="209" t="s">
        <v>325</v>
      </c>
      <c r="B35" s="210">
        <v>19395</v>
      </c>
      <c r="C35" s="210">
        <v>-6060</v>
      </c>
      <c r="D35" s="210">
        <v>9813</v>
      </c>
      <c r="E35" s="210">
        <v>13395</v>
      </c>
      <c r="F35" s="210">
        <v>28041</v>
      </c>
      <c r="G35" s="209"/>
    </row>
    <row r="36" spans="1:7">
      <c r="A36" s="209" t="s">
        <v>326</v>
      </c>
      <c r="B36" s="210">
        <v>-67117</v>
      </c>
      <c r="C36" s="210">
        <v>36881</v>
      </c>
      <c r="D36" s="210">
        <v>44900</v>
      </c>
      <c r="E36" s="210">
        <v>-594</v>
      </c>
      <c r="F36" s="210">
        <v>33181</v>
      </c>
      <c r="G36" s="209"/>
    </row>
    <row r="37" spans="1:7">
      <c r="A37" s="209" t="s">
        <v>327</v>
      </c>
      <c r="B37" s="211" t="s">
        <v>311</v>
      </c>
      <c r="C37" s="211" t="s">
        <v>311</v>
      </c>
      <c r="D37" s="210">
        <v>768</v>
      </c>
      <c r="E37" s="211" t="s">
        <v>311</v>
      </c>
      <c r="F37" s="210">
        <v>2533</v>
      </c>
      <c r="G37" s="209"/>
    </row>
    <row r="38" spans="1:7">
      <c r="A38" s="209" t="s">
        <v>328</v>
      </c>
      <c r="B38" s="211" t="s">
        <v>311</v>
      </c>
      <c r="C38" s="211" t="s">
        <v>311</v>
      </c>
      <c r="D38" s="210">
        <v>8591</v>
      </c>
      <c r="E38" s="211" t="s">
        <v>311</v>
      </c>
      <c r="F38" s="210">
        <v>22437</v>
      </c>
      <c r="G38" s="209"/>
    </row>
    <row r="39" spans="1:7">
      <c r="A39" s="209" t="s">
        <v>329</v>
      </c>
      <c r="B39" s="210">
        <v>-67117</v>
      </c>
      <c r="C39" s="210">
        <v>36863</v>
      </c>
      <c r="D39" s="210">
        <v>35541</v>
      </c>
      <c r="E39" s="210">
        <v>-594</v>
      </c>
      <c r="F39" s="210">
        <v>8211</v>
      </c>
      <c r="G39" s="209"/>
    </row>
    <row r="40" spans="1:7">
      <c r="A40" s="209" t="s">
        <v>330</v>
      </c>
      <c r="B40" s="212">
        <v>102383.28200000001</v>
      </c>
      <c r="C40" s="212">
        <v>100013.462</v>
      </c>
      <c r="D40" s="212">
        <v>75947.759000000005</v>
      </c>
      <c r="E40" s="212">
        <v>24973.931</v>
      </c>
      <c r="F40" s="213">
        <v>22729.89</v>
      </c>
      <c r="G40" s="209"/>
    </row>
    <row r="41" spans="1:7">
      <c r="A41" s="209" t="s">
        <v>331</v>
      </c>
      <c r="B41" s="212">
        <v>102383.28200000001</v>
      </c>
      <c r="C41" s="212">
        <v>103653.626</v>
      </c>
      <c r="D41" s="212">
        <v>81288.418000000005</v>
      </c>
      <c r="E41" s="212">
        <v>24973.931</v>
      </c>
      <c r="F41" s="212">
        <v>27882.844000000001</v>
      </c>
      <c r="G41" s="209"/>
    </row>
    <row r="42" spans="1:7">
      <c r="A42" s="209" t="s">
        <v>332</v>
      </c>
      <c r="B42" s="212">
        <v>103755.507</v>
      </c>
      <c r="C42" s="213">
        <v>101397.48</v>
      </c>
      <c r="D42" s="212">
        <v>98799.861000000004</v>
      </c>
      <c r="E42" s="212">
        <v>26834.535</v>
      </c>
      <c r="F42" s="212">
        <v>25873.434000000001</v>
      </c>
      <c r="G42" s="209"/>
    </row>
    <row r="43" spans="1:7">
      <c r="A43" s="209" t="s">
        <v>333</v>
      </c>
      <c r="B43" s="213">
        <v>-0.66</v>
      </c>
      <c r="C43" s="213">
        <v>0.37</v>
      </c>
      <c r="D43" s="213">
        <v>0.47</v>
      </c>
      <c r="E43" s="213">
        <v>-0.02</v>
      </c>
      <c r="F43" s="213">
        <v>0.36</v>
      </c>
      <c r="G43" s="209"/>
    </row>
    <row r="44" spans="1:7">
      <c r="A44" s="209" t="s">
        <v>334</v>
      </c>
      <c r="B44" s="213">
        <v>-0.66</v>
      </c>
      <c r="C44" s="213">
        <v>0.36</v>
      </c>
      <c r="D44" s="213">
        <v>0.34</v>
      </c>
      <c r="E44" s="213">
        <v>-0.02</v>
      </c>
      <c r="F44" s="213">
        <v>0.34</v>
      </c>
      <c r="G44" s="209"/>
    </row>
    <row r="45" spans="1:7">
      <c r="A45" s="209" t="s">
        <v>335</v>
      </c>
      <c r="B45" s="210">
        <v>8000</v>
      </c>
      <c r="C45" s="210">
        <v>8000</v>
      </c>
      <c r="D45" s="210">
        <v>6600</v>
      </c>
      <c r="E45" s="210">
        <v>5800</v>
      </c>
      <c r="F45" s="211" t="s">
        <v>311</v>
      </c>
      <c r="G45" s="209"/>
    </row>
    <row r="46" spans="1:7">
      <c r="A46" s="209" t="s">
        <v>336</v>
      </c>
      <c r="B46" s="210">
        <v>76</v>
      </c>
      <c r="C46" s="210">
        <v>85</v>
      </c>
      <c r="D46" s="210">
        <v>106</v>
      </c>
      <c r="E46" s="211" t="s">
        <v>311</v>
      </c>
      <c r="F46" s="211" t="s">
        <v>311</v>
      </c>
      <c r="G46" s="209"/>
    </row>
    <row r="47" spans="1:7">
      <c r="A47" s="209" t="s">
        <v>337</v>
      </c>
      <c r="B47" s="210">
        <v>2093</v>
      </c>
      <c r="C47" s="210">
        <v>-578</v>
      </c>
      <c r="D47" s="211" t="s">
        <v>311</v>
      </c>
      <c r="E47" s="211" t="s">
        <v>311</v>
      </c>
      <c r="F47" s="211" t="s">
        <v>311</v>
      </c>
      <c r="G47" s="209"/>
    </row>
    <row r="49" spans="1:6">
      <c r="A49" s="209" t="s">
        <v>338</v>
      </c>
    </row>
    <row r="50" spans="1:6">
      <c r="A50" s="3" t="s">
        <v>151</v>
      </c>
      <c r="B50" s="210">
        <f>SFIX_CFS!B24</f>
        <v>22617</v>
      </c>
      <c r="C50" s="210">
        <f>SFIX_CFS!C24</f>
        <v>14331</v>
      </c>
      <c r="D50" s="210">
        <f>SFIX_CFS!D24</f>
        <v>10542</v>
      </c>
      <c r="E50" s="210">
        <f>SFIX_CFS!E24</f>
        <v>7655</v>
      </c>
      <c r="F50" s="210">
        <f>SFIX_CFS!F24</f>
        <v>3544</v>
      </c>
    </row>
    <row r="51" spans="1:6">
      <c r="A51" s="3" t="s">
        <v>152</v>
      </c>
      <c r="B51" s="210">
        <f>SFIX_CFS!B35</f>
        <v>-30207</v>
      </c>
      <c r="C51" s="210">
        <f>SFIX_CFS!C35</f>
        <v>-30825</v>
      </c>
      <c r="D51" s="210">
        <f>SFIX_CFS!D35</f>
        <v>-16565</v>
      </c>
      <c r="E51" s="210">
        <f>SFIX_CFS!E35</f>
        <v>-17165</v>
      </c>
      <c r="F51" s="210">
        <f>SFIX_CFS!F35</f>
        <v>-15238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4682D-6E9B-4898-8BB2-9E91D42A7319}">
  <dimension ref="A4:G65"/>
  <sheetViews>
    <sheetView topLeftCell="A45" workbookViewId="0">
      <selection activeCell="D35" sqref="D35"/>
    </sheetView>
  </sheetViews>
  <sheetFormatPr defaultRowHeight="12.5"/>
  <cols>
    <col min="1" max="1" width="50" style="3" customWidth="1"/>
    <col min="2" max="196" width="12" style="3" customWidth="1"/>
    <col min="197" max="16384" width="8.7265625" style="3"/>
  </cols>
  <sheetData>
    <row r="4" spans="1:7">
      <c r="A4" s="203" t="s">
        <v>290</v>
      </c>
    </row>
    <row r="5" spans="1:7" ht="20">
      <c r="A5" s="204" t="s">
        <v>291</v>
      </c>
    </row>
    <row r="7" spans="1:7">
      <c r="A7" s="205" t="s">
        <v>292</v>
      </c>
    </row>
    <row r="10" spans="1:7" ht="13">
      <c r="A10" s="206" t="s">
        <v>339</v>
      </c>
      <c r="B10" s="3">
        <f>YEAR(B11)</f>
        <v>2020</v>
      </c>
      <c r="C10" s="3">
        <f t="shared" ref="C10:F10" si="0">YEAR(C11)</f>
        <v>2019</v>
      </c>
      <c r="D10" s="3">
        <f t="shared" si="0"/>
        <v>2018</v>
      </c>
      <c r="E10" s="3">
        <f t="shared" si="0"/>
        <v>2017</v>
      </c>
      <c r="F10" s="3">
        <f t="shared" si="0"/>
        <v>2016</v>
      </c>
    </row>
    <row r="11" spans="1:7" ht="13">
      <c r="A11" s="207" t="s">
        <v>294</v>
      </c>
      <c r="B11" s="208" t="s">
        <v>295</v>
      </c>
      <c r="C11" s="208" t="s">
        <v>296</v>
      </c>
      <c r="D11" s="208" t="s">
        <v>297</v>
      </c>
      <c r="E11" s="208" t="s">
        <v>298</v>
      </c>
      <c r="F11" s="208" t="s">
        <v>299</v>
      </c>
      <c r="G11" s="207"/>
    </row>
    <row r="12" spans="1:7" ht="13">
      <c r="A12" s="207" t="s">
        <v>300</v>
      </c>
      <c r="B12" s="208" t="s">
        <v>301</v>
      </c>
      <c r="C12" s="208" t="s">
        <v>301</v>
      </c>
      <c r="D12" s="208" t="s">
        <v>301</v>
      </c>
      <c r="E12" s="208" t="s">
        <v>301</v>
      </c>
      <c r="F12" s="208" t="s">
        <v>301</v>
      </c>
      <c r="G12" s="207"/>
    </row>
    <row r="13" spans="1:7" ht="13">
      <c r="A13" s="207" t="s">
        <v>302</v>
      </c>
      <c r="B13" s="208" t="s">
        <v>303</v>
      </c>
      <c r="C13" s="208" t="s">
        <v>303</v>
      </c>
      <c r="D13" s="208" t="s">
        <v>303</v>
      </c>
      <c r="E13" s="208" t="s">
        <v>303</v>
      </c>
      <c r="F13" s="208" t="s">
        <v>303</v>
      </c>
      <c r="G13" s="207"/>
    </row>
    <row r="14" spans="1:7" ht="13">
      <c r="A14" s="207" t="s">
        <v>304</v>
      </c>
      <c r="B14" s="208" t="s">
        <v>305</v>
      </c>
      <c r="C14" s="208" t="s">
        <v>305</v>
      </c>
      <c r="D14" s="208" t="s">
        <v>305</v>
      </c>
      <c r="E14" s="208" t="s">
        <v>305</v>
      </c>
      <c r="F14" s="208" t="s">
        <v>305</v>
      </c>
      <c r="G14" s="207"/>
    </row>
    <row r="15" spans="1:7" ht="13">
      <c r="A15" s="207" t="s">
        <v>306</v>
      </c>
      <c r="B15" s="208" t="s">
        <v>307</v>
      </c>
      <c r="C15" s="208" t="s">
        <v>307</v>
      </c>
      <c r="D15" s="208" t="s">
        <v>307</v>
      </c>
      <c r="E15" s="208" t="s">
        <v>307</v>
      </c>
      <c r="F15" s="208" t="s">
        <v>307</v>
      </c>
      <c r="G15" s="207"/>
    </row>
    <row r="16" spans="1:7">
      <c r="A16" s="209" t="s">
        <v>340</v>
      </c>
      <c r="B16" s="211" t="s">
        <v>311</v>
      </c>
      <c r="C16" s="211" t="s">
        <v>311</v>
      </c>
      <c r="D16" s="211" t="s">
        <v>311</v>
      </c>
      <c r="E16" s="210">
        <v>110608</v>
      </c>
      <c r="F16" s="210">
        <v>91488</v>
      </c>
      <c r="G16" s="209"/>
    </row>
    <row r="17" spans="1:7">
      <c r="A17" s="209" t="s">
        <v>186</v>
      </c>
      <c r="B17" s="210">
        <v>143455</v>
      </c>
      <c r="C17" s="210">
        <v>170932</v>
      </c>
      <c r="D17" s="210">
        <v>297516</v>
      </c>
      <c r="E17" s="210">
        <v>110608</v>
      </c>
      <c r="F17" s="210">
        <v>91488</v>
      </c>
      <c r="G17" s="209"/>
    </row>
    <row r="18" spans="1:7">
      <c r="A18" s="209" t="s">
        <v>341</v>
      </c>
      <c r="B18" s="211" t="s">
        <v>311</v>
      </c>
      <c r="C18" s="211" t="s">
        <v>311</v>
      </c>
      <c r="D18" s="210">
        <v>250</v>
      </c>
      <c r="E18" s="210">
        <v>250</v>
      </c>
      <c r="F18" s="210">
        <v>1391</v>
      </c>
      <c r="G18" s="209"/>
    </row>
    <row r="19" spans="1:7">
      <c r="A19" s="209" t="s">
        <v>187</v>
      </c>
      <c r="B19" s="210">
        <v>143037</v>
      </c>
      <c r="C19" s="210">
        <v>143276</v>
      </c>
      <c r="D19" s="211"/>
      <c r="E19" s="211"/>
      <c r="F19" s="211"/>
      <c r="G19" s="209"/>
    </row>
    <row r="20" spans="1:7">
      <c r="A20" s="209" t="s">
        <v>342</v>
      </c>
      <c r="B20" s="210">
        <v>124816</v>
      </c>
      <c r="C20" s="210">
        <v>118216</v>
      </c>
      <c r="D20" s="210">
        <v>85092</v>
      </c>
      <c r="E20" s="210">
        <v>67592</v>
      </c>
      <c r="F20" s="210">
        <v>44808</v>
      </c>
      <c r="G20" s="209"/>
    </row>
    <row r="21" spans="1:7">
      <c r="A21" s="209" t="s">
        <v>343</v>
      </c>
      <c r="B21" s="210">
        <v>55002</v>
      </c>
      <c r="C21" s="210">
        <v>49980</v>
      </c>
      <c r="D21" s="210">
        <v>34148</v>
      </c>
      <c r="E21" s="210">
        <v>19312</v>
      </c>
      <c r="F21" s="210">
        <v>10585</v>
      </c>
      <c r="G21" s="209"/>
    </row>
    <row r="22" spans="1:7">
      <c r="A22" s="209" t="s">
        <v>185</v>
      </c>
      <c r="B22" s="210">
        <v>466310</v>
      </c>
      <c r="C22" s="210">
        <v>482404</v>
      </c>
      <c r="D22" s="210">
        <v>417006</v>
      </c>
      <c r="E22" s="210">
        <v>197762</v>
      </c>
      <c r="F22" s="210">
        <v>148272</v>
      </c>
      <c r="G22" s="209"/>
    </row>
    <row r="23" spans="1:7">
      <c r="A23" s="209" t="s">
        <v>344</v>
      </c>
      <c r="B23" s="210">
        <v>95097</v>
      </c>
      <c r="C23" s="210">
        <v>53372</v>
      </c>
      <c r="D23" s="211" t="s">
        <v>311</v>
      </c>
      <c r="E23" s="211" t="s">
        <v>311</v>
      </c>
      <c r="F23" s="211" t="s">
        <v>311</v>
      </c>
      <c r="G23" s="209"/>
    </row>
    <row r="24" spans="1:7">
      <c r="A24" s="209" t="s">
        <v>345</v>
      </c>
      <c r="B24" s="210">
        <v>5967</v>
      </c>
      <c r="C24" s="210">
        <v>3647</v>
      </c>
      <c r="D24" s="210">
        <v>2920</v>
      </c>
      <c r="E24" s="210">
        <v>5086</v>
      </c>
      <c r="F24" s="210">
        <v>3440</v>
      </c>
      <c r="G24" s="209"/>
    </row>
    <row r="25" spans="1:7">
      <c r="A25" s="209" t="s">
        <v>346</v>
      </c>
      <c r="B25" s="210">
        <v>26695</v>
      </c>
      <c r="C25" s="210">
        <v>18010</v>
      </c>
      <c r="D25" s="210">
        <v>9829</v>
      </c>
      <c r="E25" s="210">
        <v>4514</v>
      </c>
      <c r="F25" s="210">
        <v>2341</v>
      </c>
      <c r="G25" s="209"/>
    </row>
    <row r="26" spans="1:7">
      <c r="A26" s="209" t="s">
        <v>347</v>
      </c>
      <c r="B26" s="210">
        <v>37570</v>
      </c>
      <c r="C26" s="210">
        <v>27967</v>
      </c>
      <c r="D26" s="210">
        <v>16091</v>
      </c>
      <c r="E26" s="210">
        <v>14693</v>
      </c>
      <c r="F26" s="210">
        <v>6974</v>
      </c>
      <c r="G26" s="209"/>
    </row>
    <row r="27" spans="1:7">
      <c r="A27" s="209" t="s">
        <v>348</v>
      </c>
      <c r="B27" s="210">
        <v>47151</v>
      </c>
      <c r="C27" s="210">
        <v>34571</v>
      </c>
      <c r="D27" s="210">
        <v>24982</v>
      </c>
      <c r="E27" s="210">
        <v>11481</v>
      </c>
      <c r="F27" s="210">
        <v>6443</v>
      </c>
      <c r="G27" s="209"/>
    </row>
    <row r="28" spans="1:7">
      <c r="A28" s="209" t="s">
        <v>349</v>
      </c>
      <c r="B28" s="210">
        <v>5973</v>
      </c>
      <c r="C28" s="210">
        <v>1381</v>
      </c>
      <c r="D28" s="210">
        <v>356</v>
      </c>
      <c r="E28" s="210">
        <v>1618</v>
      </c>
      <c r="F28" s="210">
        <v>4199</v>
      </c>
      <c r="G28" s="209"/>
    </row>
    <row r="29" spans="1:7">
      <c r="A29" s="209" t="s">
        <v>350</v>
      </c>
      <c r="B29" s="210">
        <v>430</v>
      </c>
      <c r="C29" s="210">
        <v>402</v>
      </c>
      <c r="D29" s="210">
        <v>402</v>
      </c>
      <c r="E29" s="211" t="s">
        <v>311</v>
      </c>
      <c r="F29" s="211" t="s">
        <v>311</v>
      </c>
      <c r="G29" s="209"/>
    </row>
    <row r="30" spans="1:7">
      <c r="A30" s="209" t="s">
        <v>351</v>
      </c>
      <c r="B30" s="210">
        <v>123786</v>
      </c>
      <c r="C30" s="210">
        <v>85978</v>
      </c>
      <c r="D30" s="210">
        <v>54580</v>
      </c>
      <c r="E30" s="210">
        <v>37392</v>
      </c>
      <c r="F30" s="210">
        <v>23397</v>
      </c>
      <c r="G30" s="209"/>
    </row>
    <row r="31" spans="1:7">
      <c r="A31" s="209" t="s">
        <v>352</v>
      </c>
      <c r="B31" s="210">
        <v>53417</v>
      </c>
      <c r="C31" s="210">
        <v>31090</v>
      </c>
      <c r="D31" s="210">
        <v>20411</v>
      </c>
      <c r="E31" s="210">
        <v>10659</v>
      </c>
      <c r="F31" s="210">
        <v>4246</v>
      </c>
      <c r="G31" s="209"/>
    </row>
    <row r="32" spans="1:7">
      <c r="A32" s="209" t="s">
        <v>353</v>
      </c>
      <c r="B32" s="210">
        <v>70369</v>
      </c>
      <c r="C32" s="210">
        <v>54888</v>
      </c>
      <c r="D32" s="210">
        <v>34169</v>
      </c>
      <c r="E32" s="210">
        <v>26733</v>
      </c>
      <c r="F32" s="210">
        <v>19151</v>
      </c>
      <c r="G32" s="209"/>
    </row>
    <row r="33" spans="1:7">
      <c r="A33" s="209" t="s">
        <v>354</v>
      </c>
      <c r="B33" s="210">
        <v>132615</v>
      </c>
      <c r="C33" s="211"/>
      <c r="D33" s="211"/>
      <c r="E33" s="211"/>
      <c r="F33" s="211"/>
      <c r="G33" s="209"/>
    </row>
    <row r="34" spans="1:7">
      <c r="A34" s="209" t="s">
        <v>355</v>
      </c>
      <c r="B34" s="210">
        <v>333</v>
      </c>
      <c r="C34" s="210">
        <v>22175</v>
      </c>
      <c r="D34" s="210">
        <v>14107</v>
      </c>
      <c r="E34" s="210">
        <v>19991</v>
      </c>
      <c r="F34" s="210">
        <v>13201</v>
      </c>
      <c r="G34" s="209"/>
    </row>
    <row r="35" spans="1:7">
      <c r="A35" s="209" t="s">
        <v>356</v>
      </c>
      <c r="B35" s="211" t="s">
        <v>311</v>
      </c>
      <c r="C35" s="211" t="s">
        <v>311</v>
      </c>
      <c r="D35" s="210">
        <v>12600</v>
      </c>
      <c r="E35" s="210">
        <v>9100</v>
      </c>
      <c r="F35" s="210">
        <v>8613</v>
      </c>
      <c r="G35" s="209"/>
    </row>
    <row r="36" spans="1:7">
      <c r="A36" s="209" t="s">
        <v>357</v>
      </c>
      <c r="B36" s="210">
        <v>4705</v>
      </c>
      <c r="C36" s="210">
        <v>3227</v>
      </c>
      <c r="D36" s="210">
        <v>3703</v>
      </c>
      <c r="E36" s="210">
        <v>3619</v>
      </c>
      <c r="F36" s="210">
        <v>2363</v>
      </c>
      <c r="G36" s="209"/>
    </row>
    <row r="37" spans="1:7">
      <c r="A37" s="209" t="s">
        <v>358</v>
      </c>
      <c r="B37" s="210">
        <v>769429</v>
      </c>
      <c r="C37" s="210">
        <v>616066</v>
      </c>
      <c r="D37" s="210">
        <v>481585</v>
      </c>
      <c r="E37" s="210">
        <v>257205</v>
      </c>
      <c r="F37" s="210">
        <v>191600</v>
      </c>
      <c r="G37" s="209"/>
    </row>
    <row r="38" spans="1:7">
      <c r="A38" s="209" t="s">
        <v>359</v>
      </c>
      <c r="B38" s="210">
        <v>85177</v>
      </c>
      <c r="C38" s="210">
        <v>90883</v>
      </c>
      <c r="D38" s="210">
        <v>79782</v>
      </c>
      <c r="E38" s="210">
        <v>44238</v>
      </c>
      <c r="F38" s="210">
        <v>36588</v>
      </c>
      <c r="G38" s="209"/>
    </row>
    <row r="39" spans="1:7">
      <c r="A39" s="209" t="s">
        <v>190</v>
      </c>
      <c r="B39" s="210">
        <v>24333</v>
      </c>
      <c r="C39" s="211"/>
      <c r="D39" s="211"/>
      <c r="E39" s="211"/>
      <c r="F39" s="211"/>
      <c r="G39" s="209"/>
    </row>
    <row r="40" spans="1:7">
      <c r="A40" s="209" t="s">
        <v>360</v>
      </c>
      <c r="B40" s="210">
        <v>11987</v>
      </c>
      <c r="C40" s="210">
        <v>9494</v>
      </c>
      <c r="D40" s="210">
        <v>10680</v>
      </c>
      <c r="E40" s="210">
        <v>9632</v>
      </c>
      <c r="F40" s="210">
        <v>7673</v>
      </c>
      <c r="G40" s="209"/>
    </row>
    <row r="41" spans="1:7">
      <c r="A41" s="209" t="s">
        <v>361</v>
      </c>
      <c r="B41" s="210">
        <v>14979</v>
      </c>
      <c r="C41" s="210">
        <v>12922</v>
      </c>
      <c r="D41" s="210">
        <v>10456</v>
      </c>
      <c r="E41" s="210">
        <v>9995</v>
      </c>
      <c r="F41" s="210">
        <v>2831</v>
      </c>
      <c r="G41" s="209"/>
    </row>
    <row r="42" spans="1:7">
      <c r="A42" s="209" t="s">
        <v>362</v>
      </c>
      <c r="B42" s="210">
        <v>7134</v>
      </c>
      <c r="C42" s="210">
        <v>6956</v>
      </c>
      <c r="D42" s="210">
        <v>7066</v>
      </c>
      <c r="E42" s="210">
        <v>3702</v>
      </c>
      <c r="F42" s="210">
        <v>2646</v>
      </c>
      <c r="G42" s="209"/>
    </row>
    <row r="43" spans="1:7">
      <c r="A43" s="209" t="s">
        <v>363</v>
      </c>
      <c r="B43" s="210">
        <v>8624</v>
      </c>
      <c r="C43" s="210">
        <v>7045</v>
      </c>
      <c r="D43" s="210">
        <v>4801</v>
      </c>
      <c r="E43" s="210">
        <v>3390</v>
      </c>
      <c r="F43" s="210">
        <v>4517</v>
      </c>
      <c r="G43" s="209"/>
    </row>
    <row r="44" spans="1:7">
      <c r="A44" s="209" t="s">
        <v>364</v>
      </c>
      <c r="B44" s="210">
        <v>5892</v>
      </c>
      <c r="C44" s="210">
        <v>7550</v>
      </c>
      <c r="D44" s="210">
        <v>4567</v>
      </c>
      <c r="E44" s="211" t="s">
        <v>311</v>
      </c>
      <c r="F44" s="211" t="s">
        <v>311</v>
      </c>
      <c r="G44" s="209"/>
    </row>
    <row r="45" spans="1:7">
      <c r="A45" s="209" t="s">
        <v>365</v>
      </c>
      <c r="B45" s="210">
        <v>15427</v>
      </c>
      <c r="C45" s="210">
        <v>15703</v>
      </c>
      <c r="D45" s="210">
        <v>506</v>
      </c>
      <c r="E45" s="210">
        <v>11186</v>
      </c>
      <c r="F45" s="210">
        <v>6302</v>
      </c>
      <c r="G45" s="209"/>
    </row>
    <row r="46" spans="1:7">
      <c r="A46" s="209" t="s">
        <v>366</v>
      </c>
      <c r="B46" s="211" t="s">
        <v>311</v>
      </c>
      <c r="C46" s="211" t="s">
        <v>311</v>
      </c>
      <c r="D46" s="211" t="s">
        <v>311</v>
      </c>
      <c r="E46" s="211" t="s">
        <v>311</v>
      </c>
      <c r="F46" s="210">
        <v>1656</v>
      </c>
      <c r="G46" s="209"/>
    </row>
    <row r="47" spans="1:7">
      <c r="A47" s="209" t="s">
        <v>367</v>
      </c>
      <c r="B47" s="210">
        <v>13547</v>
      </c>
      <c r="C47" s="210">
        <v>10064</v>
      </c>
      <c r="D47" s="210">
        <v>4961</v>
      </c>
      <c r="E47" s="210">
        <v>8458</v>
      </c>
      <c r="F47" s="210">
        <v>4348</v>
      </c>
      <c r="G47" s="209"/>
    </row>
    <row r="48" spans="1:7">
      <c r="A48" s="209" t="s">
        <v>368</v>
      </c>
      <c r="B48" s="210">
        <v>77590</v>
      </c>
      <c r="C48" s="210">
        <v>69734</v>
      </c>
      <c r="D48" s="210">
        <v>43037</v>
      </c>
      <c r="E48" s="210">
        <v>46363</v>
      </c>
      <c r="F48" s="210">
        <v>29973</v>
      </c>
      <c r="G48" s="209"/>
    </row>
    <row r="49" spans="1:7">
      <c r="A49" s="209" t="s">
        <v>369</v>
      </c>
      <c r="B49" s="211" t="s">
        <v>311</v>
      </c>
      <c r="C49" s="211" t="s">
        <v>311</v>
      </c>
      <c r="D49" s="211" t="s">
        <v>311</v>
      </c>
      <c r="E49" s="210">
        <v>26679</v>
      </c>
      <c r="F49" s="210">
        <v>7798</v>
      </c>
      <c r="G49" s="209"/>
    </row>
    <row r="50" spans="1:7">
      <c r="A50" s="209" t="s">
        <v>370</v>
      </c>
      <c r="B50" s="210">
        <v>8590</v>
      </c>
      <c r="C50" s="210">
        <v>7233</v>
      </c>
      <c r="D50" s="210">
        <v>6814</v>
      </c>
      <c r="E50" s="210">
        <v>5190</v>
      </c>
      <c r="F50" s="210">
        <v>3197</v>
      </c>
      <c r="G50" s="209"/>
    </row>
    <row r="51" spans="1:7">
      <c r="A51" s="209" t="s">
        <v>371</v>
      </c>
      <c r="B51" s="210">
        <v>13059</v>
      </c>
      <c r="C51" s="210">
        <v>11997</v>
      </c>
      <c r="D51" s="210">
        <v>8870</v>
      </c>
      <c r="E51" s="210">
        <v>7150</v>
      </c>
      <c r="F51" s="210">
        <v>4431</v>
      </c>
      <c r="G51" s="209"/>
    </row>
    <row r="52" spans="1:7">
      <c r="A52" s="209" t="s">
        <v>372</v>
      </c>
      <c r="B52" s="210">
        <v>3406</v>
      </c>
      <c r="C52" s="210">
        <v>2784</v>
      </c>
      <c r="D52" s="210">
        <v>3729</v>
      </c>
      <c r="E52" s="210">
        <v>4298</v>
      </c>
      <c r="F52" s="210">
        <v>3086</v>
      </c>
      <c r="G52" s="209"/>
    </row>
    <row r="53" spans="1:7">
      <c r="A53" s="209" t="s">
        <v>189</v>
      </c>
      <c r="B53" s="210">
        <v>212155</v>
      </c>
      <c r="C53" s="210">
        <v>182631</v>
      </c>
      <c r="D53" s="210">
        <v>142232</v>
      </c>
      <c r="E53" s="210">
        <v>133918</v>
      </c>
      <c r="F53" s="210">
        <v>85073</v>
      </c>
      <c r="G53" s="209"/>
    </row>
    <row r="54" spans="1:7">
      <c r="A54" s="209" t="s">
        <v>373</v>
      </c>
      <c r="B54" s="210">
        <v>140175</v>
      </c>
      <c r="C54" s="211" t="s">
        <v>311</v>
      </c>
      <c r="D54" s="211" t="s">
        <v>311</v>
      </c>
      <c r="E54" s="211" t="s">
        <v>311</v>
      </c>
      <c r="F54" s="211" t="s">
        <v>311</v>
      </c>
      <c r="G54" s="209"/>
    </row>
    <row r="55" spans="1:7">
      <c r="A55" s="209" t="s">
        <v>374</v>
      </c>
      <c r="B55" s="211" t="s">
        <v>311</v>
      </c>
      <c r="C55" s="210">
        <v>24439</v>
      </c>
      <c r="D55" s="210">
        <v>15288</v>
      </c>
      <c r="E55" s="210">
        <v>11781</v>
      </c>
      <c r="F55" s="210">
        <v>9541</v>
      </c>
      <c r="G55" s="209"/>
    </row>
    <row r="56" spans="1:7">
      <c r="A56" s="209" t="s">
        <v>375</v>
      </c>
      <c r="B56" s="210">
        <v>16062</v>
      </c>
      <c r="C56" s="210">
        <v>12996</v>
      </c>
      <c r="D56" s="210">
        <v>8993</v>
      </c>
      <c r="E56" s="210">
        <v>7423</v>
      </c>
      <c r="F56" s="210">
        <v>4817</v>
      </c>
      <c r="G56" s="209"/>
    </row>
    <row r="57" spans="1:7">
      <c r="A57" s="209" t="s">
        <v>376</v>
      </c>
      <c r="B57" s="210">
        <v>368392</v>
      </c>
      <c r="C57" s="210">
        <v>220066</v>
      </c>
      <c r="D57" s="210">
        <v>166513</v>
      </c>
      <c r="E57" s="210">
        <v>153122</v>
      </c>
      <c r="F57" s="210">
        <v>99431</v>
      </c>
      <c r="G57" s="209"/>
    </row>
    <row r="58" spans="1:7">
      <c r="A58" s="209" t="s">
        <v>377</v>
      </c>
      <c r="B58" s="211" t="s">
        <v>311</v>
      </c>
      <c r="C58" s="211" t="s">
        <v>311</v>
      </c>
      <c r="D58" s="211" t="s">
        <v>311</v>
      </c>
      <c r="E58" s="210">
        <v>42222</v>
      </c>
      <c r="F58" s="210">
        <v>42222</v>
      </c>
      <c r="G58" s="209"/>
    </row>
    <row r="59" spans="1:7">
      <c r="A59" s="209" t="s">
        <v>378</v>
      </c>
      <c r="B59" s="210">
        <v>1</v>
      </c>
      <c r="C59" s="210">
        <v>1</v>
      </c>
      <c r="D59" s="210">
        <v>1</v>
      </c>
      <c r="E59" s="211" t="s">
        <v>311</v>
      </c>
      <c r="F59" s="211" t="s">
        <v>311</v>
      </c>
      <c r="G59" s="209"/>
    </row>
    <row r="60" spans="1:7">
      <c r="A60" s="209" t="s">
        <v>379</v>
      </c>
      <c r="B60" s="210">
        <v>1</v>
      </c>
      <c r="C60" s="210">
        <v>1</v>
      </c>
      <c r="D60" s="210">
        <v>1</v>
      </c>
      <c r="E60" s="211" t="s">
        <v>311</v>
      </c>
      <c r="F60" s="211" t="s">
        <v>311</v>
      </c>
      <c r="G60" s="209"/>
    </row>
    <row r="61" spans="1:7">
      <c r="A61" s="209" t="s">
        <v>380</v>
      </c>
      <c r="B61" s="211" t="s">
        <v>311</v>
      </c>
      <c r="C61" s="211" t="s">
        <v>311</v>
      </c>
      <c r="D61" s="211" t="s">
        <v>311</v>
      </c>
      <c r="E61" s="210">
        <v>1</v>
      </c>
      <c r="F61" s="211" t="s">
        <v>311</v>
      </c>
      <c r="G61" s="209"/>
    </row>
    <row r="62" spans="1:7">
      <c r="A62" s="209" t="s">
        <v>381</v>
      </c>
      <c r="B62" s="210">
        <v>348750</v>
      </c>
      <c r="C62" s="210">
        <v>279511</v>
      </c>
      <c r="D62" s="210">
        <v>235312</v>
      </c>
      <c r="E62" s="210">
        <v>27002</v>
      </c>
      <c r="F62" s="210">
        <v>10938</v>
      </c>
      <c r="G62" s="209"/>
    </row>
    <row r="63" spans="1:7">
      <c r="A63" s="209" t="s">
        <v>382</v>
      </c>
      <c r="B63" s="210">
        <v>2728</v>
      </c>
      <c r="C63" s="210">
        <v>-187</v>
      </c>
      <c r="D63" s="211" t="s">
        <v>311</v>
      </c>
      <c r="E63" s="211" t="s">
        <v>311</v>
      </c>
      <c r="F63" s="211" t="s">
        <v>311</v>
      </c>
      <c r="G63" s="209"/>
    </row>
    <row r="64" spans="1:7">
      <c r="A64" s="209" t="s">
        <v>383</v>
      </c>
      <c r="B64" s="210">
        <v>49557</v>
      </c>
      <c r="C64" s="210">
        <v>116674</v>
      </c>
      <c r="D64" s="210">
        <v>79758</v>
      </c>
      <c r="E64" s="210">
        <v>34858</v>
      </c>
      <c r="F64" s="210">
        <v>39009</v>
      </c>
      <c r="G64" s="209"/>
    </row>
    <row r="65" spans="1:7">
      <c r="A65" s="209" t="s">
        <v>384</v>
      </c>
      <c r="B65" s="210">
        <v>401037</v>
      </c>
      <c r="C65" s="210">
        <v>396000</v>
      </c>
      <c r="D65" s="210">
        <v>315072</v>
      </c>
      <c r="E65" s="210">
        <v>61861</v>
      </c>
      <c r="F65" s="210">
        <v>49947</v>
      </c>
      <c r="G65" s="20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BFECB-B850-43C6-AF66-4511886E1864}">
  <dimension ref="A4:G53"/>
  <sheetViews>
    <sheetView workbookViewId="0">
      <selection activeCell="D35" sqref="D35"/>
    </sheetView>
  </sheetViews>
  <sheetFormatPr defaultRowHeight="12.5"/>
  <cols>
    <col min="1" max="1" width="50" style="3" customWidth="1"/>
    <col min="2" max="196" width="12" style="3" customWidth="1"/>
    <col min="197" max="16384" width="8.7265625" style="3"/>
  </cols>
  <sheetData>
    <row r="4" spans="1:7">
      <c r="A4" s="203" t="s">
        <v>290</v>
      </c>
    </row>
    <row r="5" spans="1:7" ht="20">
      <c r="A5" s="204" t="s">
        <v>291</v>
      </c>
    </row>
    <row r="7" spans="1:7">
      <c r="A7" s="205" t="s">
        <v>292</v>
      </c>
    </row>
    <row r="10" spans="1:7" ht="13">
      <c r="A10" s="206" t="s">
        <v>385</v>
      </c>
    </row>
    <row r="11" spans="1:7" ht="13">
      <c r="A11" s="207" t="s">
        <v>294</v>
      </c>
      <c r="B11" s="208" t="s">
        <v>295</v>
      </c>
      <c r="C11" s="208" t="s">
        <v>296</v>
      </c>
      <c r="D11" s="208" t="s">
        <v>297</v>
      </c>
      <c r="E11" s="208" t="s">
        <v>298</v>
      </c>
      <c r="F11" s="208" t="s">
        <v>299</v>
      </c>
      <c r="G11" s="207"/>
    </row>
    <row r="12" spans="1:7" ht="13">
      <c r="A12" s="207" t="s">
        <v>300</v>
      </c>
      <c r="B12" s="208" t="s">
        <v>301</v>
      </c>
      <c r="C12" s="208" t="s">
        <v>301</v>
      </c>
      <c r="D12" s="208" t="s">
        <v>301</v>
      </c>
      <c r="E12" s="208" t="s">
        <v>301</v>
      </c>
      <c r="F12" s="208" t="s">
        <v>301</v>
      </c>
      <c r="G12" s="207"/>
    </row>
    <row r="13" spans="1:7" ht="13">
      <c r="A13" s="207" t="s">
        <v>302</v>
      </c>
      <c r="B13" s="208" t="s">
        <v>303</v>
      </c>
      <c r="C13" s="208" t="s">
        <v>303</v>
      </c>
      <c r="D13" s="208" t="s">
        <v>303</v>
      </c>
      <c r="E13" s="208" t="s">
        <v>303</v>
      </c>
      <c r="F13" s="208" t="s">
        <v>303</v>
      </c>
      <c r="G13" s="207"/>
    </row>
    <row r="14" spans="1:7" ht="13">
      <c r="A14" s="207" t="s">
        <v>304</v>
      </c>
      <c r="B14" s="208" t="s">
        <v>305</v>
      </c>
      <c r="C14" s="208" t="s">
        <v>305</v>
      </c>
      <c r="D14" s="208" t="s">
        <v>305</v>
      </c>
      <c r="E14" s="208" t="s">
        <v>305</v>
      </c>
      <c r="F14" s="208" t="s">
        <v>305</v>
      </c>
      <c r="G14" s="207"/>
    </row>
    <row r="15" spans="1:7" ht="13">
      <c r="A15" s="207" t="s">
        <v>306</v>
      </c>
      <c r="B15" s="208" t="s">
        <v>307</v>
      </c>
      <c r="C15" s="208" t="s">
        <v>307</v>
      </c>
      <c r="D15" s="208" t="s">
        <v>307</v>
      </c>
      <c r="E15" s="208" t="s">
        <v>307</v>
      </c>
      <c r="F15" s="208" t="s">
        <v>307</v>
      </c>
      <c r="G15" s="207"/>
    </row>
    <row r="16" spans="1:7">
      <c r="A16" s="209" t="s">
        <v>386</v>
      </c>
      <c r="B16" s="210">
        <v>-67117</v>
      </c>
      <c r="C16" s="210">
        <v>36881</v>
      </c>
      <c r="D16" s="210">
        <v>44900</v>
      </c>
      <c r="E16" s="210">
        <v>-594</v>
      </c>
      <c r="F16" s="210">
        <v>33181</v>
      </c>
      <c r="G16" s="209"/>
    </row>
    <row r="17" spans="1:7">
      <c r="A17" s="209" t="s">
        <v>387</v>
      </c>
      <c r="B17" s="210">
        <v>-20273</v>
      </c>
      <c r="C17" s="210">
        <v>-8203</v>
      </c>
      <c r="D17" s="210">
        <v>6588</v>
      </c>
      <c r="E17" s="210">
        <v>-6728</v>
      </c>
      <c r="F17" s="210">
        <v>-5869</v>
      </c>
      <c r="G17" s="209"/>
    </row>
    <row r="18" spans="1:7">
      <c r="A18" s="209" t="s">
        <v>388</v>
      </c>
      <c r="B18" s="210">
        <v>43153</v>
      </c>
      <c r="C18" s="211" t="s">
        <v>311</v>
      </c>
      <c r="D18" s="211" t="s">
        <v>311</v>
      </c>
      <c r="E18" s="211" t="s">
        <v>311</v>
      </c>
      <c r="F18" s="211" t="s">
        <v>311</v>
      </c>
      <c r="G18" s="209"/>
    </row>
    <row r="19" spans="1:7">
      <c r="A19" s="209" t="s">
        <v>310</v>
      </c>
      <c r="B19" s="211" t="s">
        <v>311</v>
      </c>
      <c r="C19" s="211" t="s">
        <v>311</v>
      </c>
      <c r="D19" s="210">
        <v>-10685</v>
      </c>
      <c r="E19" s="210">
        <v>18881</v>
      </c>
      <c r="F19" s="210">
        <v>3019</v>
      </c>
      <c r="G19" s="209"/>
    </row>
    <row r="20" spans="1:7">
      <c r="A20" s="209" t="s">
        <v>389</v>
      </c>
      <c r="B20" s="210">
        <v>8828</v>
      </c>
      <c r="C20" s="210">
        <v>7974</v>
      </c>
      <c r="D20" s="210">
        <v>1916</v>
      </c>
      <c r="E20" s="210">
        <v>3591</v>
      </c>
      <c r="F20" s="210">
        <v>5941</v>
      </c>
      <c r="G20" s="209"/>
    </row>
    <row r="21" spans="1:7">
      <c r="A21" s="209" t="s">
        <v>390</v>
      </c>
      <c r="B21" s="211" t="s">
        <v>311</v>
      </c>
      <c r="C21" s="211" t="s">
        <v>311</v>
      </c>
      <c r="D21" s="211" t="s">
        <v>311</v>
      </c>
      <c r="E21" s="210">
        <v>9699</v>
      </c>
      <c r="F21" s="210">
        <v>4810</v>
      </c>
      <c r="G21" s="209"/>
    </row>
    <row r="22" spans="1:7">
      <c r="A22" s="209" t="s">
        <v>391</v>
      </c>
      <c r="B22" s="210">
        <v>67530</v>
      </c>
      <c r="C22" s="210">
        <v>35256</v>
      </c>
      <c r="D22" s="210">
        <v>15403</v>
      </c>
      <c r="E22" s="210">
        <v>3545</v>
      </c>
      <c r="F22" s="210">
        <v>1850</v>
      </c>
      <c r="G22" s="209"/>
    </row>
    <row r="23" spans="1:7">
      <c r="A23" s="209" t="s">
        <v>392</v>
      </c>
      <c r="B23" s="211" t="s">
        <v>311</v>
      </c>
      <c r="C23" s="211" t="s">
        <v>311</v>
      </c>
      <c r="D23" s="211" t="s">
        <v>311</v>
      </c>
      <c r="E23" s="210">
        <v>-62</v>
      </c>
      <c r="F23" s="210">
        <v>-63</v>
      </c>
      <c r="G23" s="209"/>
    </row>
    <row r="24" spans="1:7">
      <c r="A24" s="209" t="s">
        <v>393</v>
      </c>
      <c r="B24" s="210">
        <v>22617</v>
      </c>
      <c r="C24" s="210">
        <v>14331</v>
      </c>
      <c r="D24" s="210">
        <v>10542</v>
      </c>
      <c r="E24" s="210">
        <v>7655</v>
      </c>
      <c r="F24" s="210">
        <v>3544</v>
      </c>
      <c r="G24" s="209"/>
    </row>
    <row r="25" spans="1:7">
      <c r="A25" s="209" t="s">
        <v>394</v>
      </c>
      <c r="B25" s="210">
        <v>882</v>
      </c>
      <c r="C25" s="210">
        <v>148</v>
      </c>
      <c r="D25" s="210">
        <v>155</v>
      </c>
      <c r="E25" s="211" t="s">
        <v>311</v>
      </c>
      <c r="F25" s="211" t="s">
        <v>311</v>
      </c>
      <c r="G25" s="209"/>
    </row>
    <row r="26" spans="1:7">
      <c r="A26" s="209" t="s">
        <v>395</v>
      </c>
      <c r="B26" s="210">
        <v>-15222</v>
      </c>
      <c r="C26" s="210">
        <v>-41233</v>
      </c>
      <c r="D26" s="210">
        <v>-19416</v>
      </c>
      <c r="E26" s="210">
        <v>-26375</v>
      </c>
      <c r="F26" s="210">
        <v>-26509</v>
      </c>
      <c r="G26" s="209"/>
    </row>
    <row r="27" spans="1:7">
      <c r="A27" s="209" t="s">
        <v>396</v>
      </c>
      <c r="B27" s="210">
        <v>-6683</v>
      </c>
      <c r="C27" s="210">
        <v>-16831</v>
      </c>
      <c r="D27" s="210">
        <v>-17307</v>
      </c>
      <c r="E27" s="210">
        <v>-7596</v>
      </c>
      <c r="F27" s="210">
        <v>-9504</v>
      </c>
      <c r="G27" s="209"/>
    </row>
    <row r="28" spans="1:7">
      <c r="A28" s="209" t="s">
        <v>397</v>
      </c>
      <c r="B28" s="210">
        <v>394</v>
      </c>
      <c r="C28" s="211" t="s">
        <v>311</v>
      </c>
      <c r="D28" s="211" t="s">
        <v>311</v>
      </c>
      <c r="E28" s="211" t="s">
        <v>311</v>
      </c>
      <c r="F28" s="211" t="s">
        <v>311</v>
      </c>
      <c r="G28" s="209"/>
    </row>
    <row r="29" spans="1:7">
      <c r="A29" s="209" t="s">
        <v>359</v>
      </c>
      <c r="B29" s="210">
        <v>-5520</v>
      </c>
      <c r="C29" s="210">
        <v>10774</v>
      </c>
      <c r="D29" s="210">
        <v>35502</v>
      </c>
      <c r="E29" s="210">
        <v>7841</v>
      </c>
      <c r="F29" s="210">
        <v>10192</v>
      </c>
      <c r="G29" s="209"/>
    </row>
    <row r="30" spans="1:7">
      <c r="A30" s="209" t="s">
        <v>368</v>
      </c>
      <c r="B30" s="210">
        <v>8297</v>
      </c>
      <c r="C30" s="210">
        <v>22856</v>
      </c>
      <c r="D30" s="210">
        <v>-3595</v>
      </c>
      <c r="E30" s="210">
        <v>17748</v>
      </c>
      <c r="F30" s="210">
        <v>10904</v>
      </c>
      <c r="G30" s="209"/>
    </row>
    <row r="31" spans="1:7">
      <c r="A31" s="209" t="s">
        <v>371</v>
      </c>
      <c r="B31" s="210">
        <v>1054</v>
      </c>
      <c r="C31" s="210">
        <v>3325</v>
      </c>
      <c r="D31" s="210">
        <v>1720</v>
      </c>
      <c r="E31" s="210">
        <v>2719</v>
      </c>
      <c r="F31" s="210">
        <v>1574</v>
      </c>
      <c r="G31" s="209"/>
    </row>
    <row r="32" spans="1:7">
      <c r="A32" s="209" t="s">
        <v>370</v>
      </c>
      <c r="B32" s="210">
        <v>1357</v>
      </c>
      <c r="C32" s="210">
        <v>825</v>
      </c>
      <c r="D32" s="210">
        <v>1624</v>
      </c>
      <c r="E32" s="210">
        <v>1993</v>
      </c>
      <c r="F32" s="210">
        <v>1530</v>
      </c>
      <c r="G32" s="209"/>
    </row>
    <row r="33" spans="1:7">
      <c r="A33" s="209" t="s">
        <v>398</v>
      </c>
      <c r="B33" s="210">
        <v>3580</v>
      </c>
      <c r="C33" s="210">
        <v>12491</v>
      </c>
      <c r="D33" s="210">
        <v>4831</v>
      </c>
      <c r="E33" s="210">
        <v>6307</v>
      </c>
      <c r="F33" s="210">
        <v>10516</v>
      </c>
      <c r="G33" s="209"/>
    </row>
    <row r="34" spans="1:7">
      <c r="A34" s="209" t="s">
        <v>399</v>
      </c>
      <c r="B34" s="210">
        <v>42877</v>
      </c>
      <c r="C34" s="210">
        <v>78594</v>
      </c>
      <c r="D34" s="210">
        <v>72178</v>
      </c>
      <c r="E34" s="210">
        <v>38624</v>
      </c>
      <c r="F34" s="210">
        <v>45116</v>
      </c>
      <c r="G34" s="209"/>
    </row>
    <row r="35" spans="1:7">
      <c r="A35" s="209" t="s">
        <v>400</v>
      </c>
      <c r="B35" s="210">
        <v>-30207</v>
      </c>
      <c r="C35" s="210">
        <v>-30825</v>
      </c>
      <c r="D35" s="210">
        <v>-16565</v>
      </c>
      <c r="E35" s="210">
        <v>-17165</v>
      </c>
      <c r="F35" s="210">
        <v>-15238</v>
      </c>
      <c r="G35" s="209"/>
    </row>
    <row r="36" spans="1:7">
      <c r="A36" s="209" t="s">
        <v>401</v>
      </c>
      <c r="B36" s="210">
        <v>-248318</v>
      </c>
      <c r="C36" s="210">
        <v>-285205</v>
      </c>
      <c r="D36" s="211" t="s">
        <v>311</v>
      </c>
      <c r="E36" s="211" t="s">
        <v>311</v>
      </c>
      <c r="F36" s="211" t="s">
        <v>311</v>
      </c>
      <c r="G36" s="209"/>
    </row>
    <row r="37" spans="1:7">
      <c r="A37" s="209" t="s">
        <v>402</v>
      </c>
      <c r="B37" s="210">
        <v>36587</v>
      </c>
      <c r="C37" s="210">
        <v>10596</v>
      </c>
      <c r="D37" s="211" t="s">
        <v>311</v>
      </c>
      <c r="E37" s="211" t="s">
        <v>311</v>
      </c>
      <c r="F37" s="211" t="s">
        <v>311</v>
      </c>
      <c r="G37" s="209"/>
    </row>
    <row r="38" spans="1:7">
      <c r="A38" s="209" t="s">
        <v>403</v>
      </c>
      <c r="B38" s="210">
        <v>171477</v>
      </c>
      <c r="C38" s="210">
        <v>80250</v>
      </c>
      <c r="D38" s="211" t="s">
        <v>311</v>
      </c>
      <c r="E38" s="211" t="s">
        <v>311</v>
      </c>
      <c r="F38" s="211" t="s">
        <v>311</v>
      </c>
      <c r="G38" s="209"/>
    </row>
    <row r="39" spans="1:7">
      <c r="A39" s="209" t="s">
        <v>404</v>
      </c>
      <c r="B39" s="211" t="s">
        <v>311</v>
      </c>
      <c r="C39" s="211" t="s">
        <v>311</v>
      </c>
      <c r="D39" s="211" t="s">
        <v>311</v>
      </c>
      <c r="E39" s="210">
        <v>35</v>
      </c>
      <c r="F39" s="211" t="s">
        <v>311</v>
      </c>
      <c r="G39" s="209"/>
    </row>
    <row r="40" spans="1:7">
      <c r="A40" s="209" t="s">
        <v>405</v>
      </c>
      <c r="B40" s="210">
        <v>-70461</v>
      </c>
      <c r="C40" s="210">
        <v>-225184</v>
      </c>
      <c r="D40" s="210">
        <v>-16565</v>
      </c>
      <c r="E40" s="210">
        <v>-17130</v>
      </c>
      <c r="F40" s="210">
        <v>-15238</v>
      </c>
      <c r="G40" s="209"/>
    </row>
    <row r="41" spans="1:7">
      <c r="A41" s="209" t="s">
        <v>406</v>
      </c>
      <c r="B41" s="211" t="s">
        <v>311</v>
      </c>
      <c r="C41" s="211" t="s">
        <v>311</v>
      </c>
      <c r="D41" s="210">
        <v>129046</v>
      </c>
      <c r="E41" s="211" t="s">
        <v>311</v>
      </c>
      <c r="F41" s="211" t="s">
        <v>311</v>
      </c>
      <c r="G41" s="209"/>
    </row>
    <row r="42" spans="1:7">
      <c r="A42" s="209" t="s">
        <v>407</v>
      </c>
      <c r="B42" s="210">
        <v>12078</v>
      </c>
      <c r="C42" s="210">
        <v>13693</v>
      </c>
      <c r="D42" s="210">
        <v>5788</v>
      </c>
      <c r="E42" s="210">
        <v>2346</v>
      </c>
      <c r="F42" s="210">
        <v>436</v>
      </c>
      <c r="G42" s="209"/>
    </row>
    <row r="43" spans="1:7">
      <c r="A43" s="209" t="s">
        <v>408</v>
      </c>
      <c r="B43" s="210">
        <v>-12819</v>
      </c>
      <c r="C43" s="210">
        <v>-6748</v>
      </c>
      <c r="D43" s="211" t="s">
        <v>311</v>
      </c>
      <c r="E43" s="211" t="s">
        <v>311</v>
      </c>
      <c r="F43" s="211" t="s">
        <v>311</v>
      </c>
      <c r="G43" s="209"/>
    </row>
    <row r="44" spans="1:7">
      <c r="A44" s="209" t="s">
        <v>392</v>
      </c>
      <c r="B44" s="211" t="s">
        <v>311</v>
      </c>
      <c r="C44" s="211" t="s">
        <v>311</v>
      </c>
      <c r="D44" s="211" t="s">
        <v>311</v>
      </c>
      <c r="E44" s="210">
        <v>62</v>
      </c>
      <c r="F44" s="210">
        <v>63</v>
      </c>
      <c r="G44" s="209"/>
    </row>
    <row r="45" spans="1:7">
      <c r="A45" s="209" t="s">
        <v>409</v>
      </c>
      <c r="B45" s="211" t="s">
        <v>311</v>
      </c>
      <c r="C45" s="211" t="s">
        <v>311</v>
      </c>
      <c r="D45" s="210">
        <v>-39</v>
      </c>
      <c r="E45" s="210">
        <v>-3557</v>
      </c>
      <c r="F45" s="211" t="s">
        <v>311</v>
      </c>
      <c r="G45" s="209"/>
    </row>
    <row r="46" spans="1:7">
      <c r="A46" s="209" t="s">
        <v>410</v>
      </c>
      <c r="B46" s="210">
        <v>-694</v>
      </c>
      <c r="C46" s="211" t="s">
        <v>311</v>
      </c>
      <c r="D46" s="211" t="s">
        <v>311</v>
      </c>
      <c r="E46" s="211" t="s">
        <v>311</v>
      </c>
      <c r="F46" s="211" t="s">
        <v>311</v>
      </c>
      <c r="G46" s="209"/>
    </row>
    <row r="47" spans="1:7">
      <c r="A47" s="209" t="s">
        <v>411</v>
      </c>
      <c r="B47" s="211" t="s">
        <v>311</v>
      </c>
      <c r="C47" s="211" t="s">
        <v>311</v>
      </c>
      <c r="D47" s="211" t="s">
        <v>311</v>
      </c>
      <c r="E47" s="210">
        <v>-1879</v>
      </c>
      <c r="F47" s="211" t="s">
        <v>311</v>
      </c>
      <c r="G47" s="209"/>
    </row>
    <row r="48" spans="1:7">
      <c r="A48" s="209" t="s">
        <v>412</v>
      </c>
      <c r="B48" s="210">
        <v>-1435</v>
      </c>
      <c r="C48" s="210">
        <v>6945</v>
      </c>
      <c r="D48" s="210">
        <v>134795</v>
      </c>
      <c r="E48" s="210">
        <v>-3028</v>
      </c>
      <c r="F48" s="210">
        <v>499</v>
      </c>
      <c r="G48" s="209"/>
    </row>
    <row r="49" spans="1:7">
      <c r="A49" s="209" t="s">
        <v>413</v>
      </c>
      <c r="B49" s="210">
        <v>-29019</v>
      </c>
      <c r="C49" s="210">
        <v>-139645</v>
      </c>
      <c r="D49" s="210">
        <v>190408</v>
      </c>
      <c r="E49" s="210">
        <v>18466</v>
      </c>
      <c r="F49" s="210">
        <v>30377</v>
      </c>
      <c r="G49" s="209"/>
    </row>
    <row r="50" spans="1:7">
      <c r="A50" s="209" t="s">
        <v>414</v>
      </c>
      <c r="B50" s="210">
        <v>1542</v>
      </c>
      <c r="C50" s="210">
        <v>211</v>
      </c>
      <c r="D50" s="211" t="s">
        <v>311</v>
      </c>
      <c r="E50" s="211" t="s">
        <v>311</v>
      </c>
      <c r="F50" s="211" t="s">
        <v>311</v>
      </c>
      <c r="G50" s="209"/>
    </row>
    <row r="51" spans="1:7">
      <c r="A51" s="209" t="s">
        <v>415</v>
      </c>
      <c r="B51" s="210">
        <v>170932</v>
      </c>
      <c r="C51" s="210">
        <v>310366</v>
      </c>
      <c r="D51" s="210">
        <v>119958</v>
      </c>
      <c r="E51" s="210">
        <v>101492</v>
      </c>
      <c r="F51" s="210">
        <v>71115</v>
      </c>
      <c r="G51" s="209"/>
    </row>
    <row r="52" spans="1:7">
      <c r="A52" s="209" t="s">
        <v>416</v>
      </c>
      <c r="B52" s="210">
        <v>143455</v>
      </c>
      <c r="C52" s="210">
        <v>170932</v>
      </c>
      <c r="D52" s="210">
        <v>310366</v>
      </c>
      <c r="E52" s="210">
        <v>119958</v>
      </c>
      <c r="F52" s="210">
        <v>101492</v>
      </c>
      <c r="G52" s="209"/>
    </row>
    <row r="53" spans="1:7">
      <c r="A53" s="209" t="s">
        <v>417</v>
      </c>
      <c r="B53" s="210">
        <v>365</v>
      </c>
      <c r="C53" s="210">
        <v>966</v>
      </c>
      <c r="D53" s="210">
        <v>10071</v>
      </c>
      <c r="E53" s="210">
        <v>28023</v>
      </c>
      <c r="F53" s="210">
        <v>39387</v>
      </c>
      <c r="G53" s="20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FA1E4-832B-4532-86FF-8E556A7F8377}">
  <dimension ref="B2:I18"/>
  <sheetViews>
    <sheetView workbookViewId="0">
      <selection activeCell="H44" sqref="H44"/>
    </sheetView>
  </sheetViews>
  <sheetFormatPr defaultColWidth="9.1796875" defaultRowHeight="14.5"/>
  <cols>
    <col min="1" max="1" width="3.1796875" style="50" customWidth="1"/>
    <col min="2" max="2" width="21" style="50" customWidth="1"/>
    <col min="3" max="3" width="17.26953125" style="50" customWidth="1"/>
    <col min="4" max="4" width="3.1796875" style="50" customWidth="1"/>
    <col min="5" max="6" width="15.453125" style="50" customWidth="1"/>
    <col min="7" max="7" width="3.1796875" style="50" customWidth="1"/>
    <col min="8" max="8" width="17.54296875" style="50" customWidth="1"/>
    <col min="9" max="9" width="9.453125" style="50" bestFit="1" customWidth="1"/>
    <col min="10" max="16384" width="9.1796875" style="50"/>
  </cols>
  <sheetData>
    <row r="2" spans="2:9">
      <c r="B2" s="51" t="s">
        <v>124</v>
      </c>
      <c r="C2" s="52" t="s">
        <v>59</v>
      </c>
    </row>
    <row r="3" spans="2:9">
      <c r="B3" s="51"/>
    </row>
    <row r="4" spans="2:9">
      <c r="C4" s="53" t="s">
        <v>125</v>
      </c>
      <c r="D4" s="54"/>
      <c r="E4" s="53"/>
      <c r="F4" s="53"/>
      <c r="G4" s="51"/>
      <c r="H4" s="53" t="s">
        <v>127</v>
      </c>
      <c r="I4" s="55"/>
    </row>
    <row r="5" spans="2:9">
      <c r="C5" s="56">
        <v>44044</v>
      </c>
      <c r="D5" s="56"/>
      <c r="E5" s="56"/>
      <c r="F5" s="56"/>
      <c r="G5" s="56"/>
      <c r="H5" s="56">
        <v>44044</v>
      </c>
      <c r="I5" s="57"/>
    </row>
    <row r="6" spans="2:9">
      <c r="B6" s="50" t="s">
        <v>128</v>
      </c>
      <c r="C6" s="59">
        <v>1711.7329999999999</v>
      </c>
      <c r="D6" s="58"/>
      <c r="E6" s="58"/>
      <c r="F6" s="58"/>
      <c r="G6" s="58"/>
      <c r="H6" s="58"/>
    </row>
    <row r="7" spans="2:9">
      <c r="B7" s="50" t="s">
        <v>129</v>
      </c>
      <c r="C7" s="59">
        <v>-51.664000000000001</v>
      </c>
      <c r="D7" s="58"/>
      <c r="E7" s="58"/>
      <c r="F7" s="58"/>
      <c r="G7" s="58"/>
      <c r="H7" s="58"/>
    </row>
    <row r="8" spans="2:9">
      <c r="B8" s="50" t="s">
        <v>130</v>
      </c>
      <c r="C8" s="59">
        <f>C7+22.617</f>
        <v>-29.047000000000001</v>
      </c>
      <c r="D8" s="58"/>
      <c r="E8" s="58"/>
      <c r="F8" s="58"/>
      <c r="G8" s="58"/>
      <c r="H8" s="58"/>
    </row>
    <row r="10" spans="2:9">
      <c r="H10" s="53" t="s">
        <v>131</v>
      </c>
      <c r="I10" s="55"/>
    </row>
    <row r="11" spans="2:9">
      <c r="H11" s="56">
        <v>44044</v>
      </c>
      <c r="I11" s="57"/>
    </row>
    <row r="12" spans="2:9">
      <c r="B12" s="50" t="s">
        <v>132</v>
      </c>
      <c r="H12" s="59">
        <f>140.175+24.333-143.455-143.037</f>
        <v>-121.98400000000001</v>
      </c>
      <c r="I12" s="58"/>
    </row>
    <row r="13" spans="2:9">
      <c r="B13" s="50" t="s">
        <v>133</v>
      </c>
      <c r="H13" s="59">
        <v>0</v>
      </c>
    </row>
    <row r="14" spans="2:9">
      <c r="B14" s="50" t="s">
        <v>134</v>
      </c>
      <c r="H14" s="59">
        <v>0</v>
      </c>
    </row>
    <row r="15" spans="2:9">
      <c r="H15" s="59"/>
    </row>
    <row r="16" spans="2:9">
      <c r="B16" s="50" t="s">
        <v>135</v>
      </c>
      <c r="H16" s="59">
        <f>143.455+143.037</f>
        <v>286.49200000000002</v>
      </c>
    </row>
    <row r="17" spans="2:8">
      <c r="B17" s="50" t="s">
        <v>136</v>
      </c>
      <c r="H17" s="59">
        <f>769.429</f>
        <v>769.42899999999997</v>
      </c>
    </row>
    <row r="18" spans="2:8">
      <c r="C18"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Possible_Comps</vt:lpstr>
      <vt:lpstr>Selecting_Comps</vt:lpstr>
      <vt:lpstr>SFIX_Comps</vt:lpstr>
      <vt:lpstr>SFIX_DCF</vt:lpstr>
      <vt:lpstr>Option_Value</vt:lpstr>
      <vt:lpstr>SFIX_IS</vt:lpstr>
      <vt:lpstr>SFIX_BS</vt:lpstr>
      <vt:lpstr>SFIX_CFS</vt:lpstr>
      <vt:lpstr>SFIX_LTM</vt:lpstr>
      <vt:lpstr>ETSY_LTM</vt:lpstr>
      <vt:lpstr>REAL_LTM</vt:lpstr>
      <vt:lpstr>W_LTM</vt:lpstr>
      <vt:lpstr>RVLV_LTM</vt:lpstr>
      <vt:lpstr>OSTK_LTM</vt:lpstr>
      <vt:lpstr>CHWY_LTM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2020-11-10T01:02:03Z</dcterms:created>
  <dcterms:modified xsi:type="dcterms:W3CDTF">2020-11-13T12:55:42Z</dcterms:modified>
</cp:coreProperties>
</file>